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овой прокат" sheetId="1" r:id="rId1"/>
    <sheet name="Сортовой прокат" sheetId="2" r:id="rId2"/>
    <sheet name="Труба" sheetId="3" r:id="rId3"/>
    <sheet name="КОНТАКТЫ" sheetId="4" r:id="rId4"/>
  </sheets>
  <definedNames/>
  <calcPr fullCalcOnLoad="1"/>
</workbook>
</file>

<file path=xl/sharedStrings.xml><?xml version="1.0" encoding="utf-8"?>
<sst xmlns="http://schemas.openxmlformats.org/spreadsheetml/2006/main" count="563" uniqueCount="209">
  <si>
    <t>Одесса, пер. Локомотивный 14а</t>
  </si>
  <si>
    <t>График работы: будние дни с 8.30 до 17.30</t>
  </si>
  <si>
    <t>прайс-листы на отгружаемую металлопродукцию</t>
  </si>
  <si>
    <t>листовой прокат</t>
  </si>
  <si>
    <t>new!</t>
  </si>
  <si>
    <t>сортовой прокат</t>
  </si>
  <si>
    <t>трубы</t>
  </si>
  <si>
    <r>
      <t xml:space="preserve">Предриятие оказывает услуги </t>
    </r>
    <r>
      <rPr>
        <b/>
        <u val="single"/>
        <sz val="14"/>
        <rFont val="Arial Cyr"/>
        <family val="0"/>
      </rPr>
      <t xml:space="preserve">по порезке и доставке
</t>
    </r>
    <r>
      <rPr>
        <sz val="14"/>
        <rFont val="Arial Cyr"/>
        <family val="0"/>
      </rPr>
      <t xml:space="preserve"> металлопродукции по городу и области</t>
    </r>
  </si>
  <si>
    <t>e-mail: selling@mdgr.od.ua</t>
  </si>
  <si>
    <t>www.mdgr.od.ua   /   www.mdgr.com.ua</t>
  </si>
  <si>
    <t>тел./факс: (048) 734-10-60 (61; 62)</t>
  </si>
  <si>
    <t>Утверждаю:</t>
  </si>
  <si>
    <t>Начальник Управления продаж</t>
  </si>
  <si>
    <t>металлопродукции г. Одесса</t>
  </si>
  <si>
    <t>ООО "МД Групп"</t>
  </si>
  <si>
    <t>Манько В.Н.</t>
  </si>
  <si>
    <t>г. Одесса, пер. Локомотивный 14а,    т/ф: (048) 734-10-60    www.mdgr.od.ua    selling@mdgr.od.ua</t>
  </si>
  <si>
    <r>
      <t xml:space="preserve">Цены указаны на условиях: </t>
    </r>
    <r>
      <rPr>
        <b/>
        <i/>
        <sz val="12"/>
        <rFont val="Arial Cyr"/>
        <family val="0"/>
      </rPr>
      <t>франко-склад  Одесса, пер. Локомотивный, 14а</t>
    </r>
  </si>
  <si>
    <r>
      <t xml:space="preserve">Условия поставки - </t>
    </r>
    <r>
      <rPr>
        <b/>
        <i/>
        <sz val="12"/>
        <rFont val="Arial Cyr"/>
        <family val="0"/>
      </rPr>
      <t>самовывоз</t>
    </r>
  </si>
  <si>
    <t>с</t>
  </si>
  <si>
    <t>Продукция производства ОАО "Запорожсталь"</t>
  </si>
  <si>
    <t>Листовой прокат</t>
  </si>
  <si>
    <r>
      <t>ТЕОР</t>
    </r>
    <r>
      <rPr>
        <sz val="11"/>
        <rFont val="Arial Cyr"/>
        <family val="0"/>
      </rPr>
      <t>. вес, кг</t>
    </r>
  </si>
  <si>
    <t>Кол-во</t>
  </si>
  <si>
    <t>Цена, грн с НДС</t>
  </si>
  <si>
    <t>Наименование</t>
  </si>
  <si>
    <t>Сорт</t>
  </si>
  <si>
    <t>Толщина, мм</t>
  </si>
  <si>
    <t>Раскрой, мм</t>
  </si>
  <si>
    <t>от 20 до 40 т</t>
  </si>
  <si>
    <t>от 5 до 20 т</t>
  </si>
  <si>
    <t>от 1 до 5 т</t>
  </si>
  <si>
    <t>от 0,5 до 1 т</t>
  </si>
  <si>
    <t>от 0,1 до 0,5 т</t>
  </si>
  <si>
    <t>до 0,1 т</t>
  </si>
  <si>
    <t>1 шт.</t>
  </si>
  <si>
    <t>шт. / 1т</t>
  </si>
  <si>
    <t>предопл.</t>
  </si>
  <si>
    <r>
      <t xml:space="preserve"> Лист г/к</t>
    </r>
    <r>
      <rPr>
        <sz val="12"/>
        <rFont val="Arial"/>
        <family val="2"/>
      </rPr>
      <t xml:space="preserve">
         Ст1-3кп/пс</t>
    </r>
  </si>
  <si>
    <t>1000х2000</t>
  </si>
  <si>
    <t>1250х2500</t>
  </si>
  <si>
    <t>1000x2000</t>
  </si>
  <si>
    <t>1250x2500</t>
  </si>
  <si>
    <t>1200х2060</t>
  </si>
  <si>
    <t>1500x6000</t>
  </si>
  <si>
    <r>
      <t xml:space="preserve"> </t>
    </r>
    <r>
      <rPr>
        <b/>
        <sz val="12"/>
        <rFont val="Arial"/>
        <family val="2"/>
      </rPr>
      <t>Лист х/к</t>
    </r>
    <r>
      <rPr>
        <sz val="12"/>
        <rFont val="Arial"/>
        <family val="2"/>
      </rPr>
      <t xml:space="preserve">
               08кп/пс</t>
    </r>
  </si>
  <si>
    <r>
      <t xml:space="preserve"> Лист х/к м/г</t>
    </r>
    <r>
      <rPr>
        <sz val="12"/>
        <rFont val="Arial"/>
        <family val="2"/>
      </rPr>
      <t xml:space="preserve">
                  08кп</t>
    </r>
  </si>
  <si>
    <t>(1,1-1,3)</t>
  </si>
  <si>
    <t>(1,7-2,0)</t>
  </si>
  <si>
    <t>Продукция 2-го сорта отпускается со скидкой 7 % от вышеуказанных цен !</t>
  </si>
  <si>
    <t>Продукция производства ПАО "Алчевский МК"</t>
  </si>
  <si>
    <r>
      <t xml:space="preserve"> Лист г/к</t>
    </r>
    <r>
      <rPr>
        <sz val="12"/>
        <rFont val="Arial"/>
        <family val="2"/>
      </rPr>
      <t xml:space="preserve">
             Ст3сп5</t>
    </r>
  </si>
  <si>
    <t>1500х6000</t>
  </si>
  <si>
    <r>
      <t xml:space="preserve"> Лист г/к</t>
    </r>
    <r>
      <rPr>
        <sz val="12"/>
        <rFont val="Arial"/>
        <family val="2"/>
      </rPr>
      <t xml:space="preserve">
             09Г2С</t>
    </r>
  </si>
  <si>
    <r>
      <t xml:space="preserve"> Лист отсортировка</t>
    </r>
    <r>
      <rPr>
        <sz val="12"/>
        <rFont val="Arial"/>
        <family val="2"/>
      </rPr>
      <t xml:space="preserve">
                  </t>
    </r>
  </si>
  <si>
    <t>8,0 - 10,0</t>
  </si>
  <si>
    <t>Ф2</t>
  </si>
  <si>
    <t>12,0 - 20,0</t>
  </si>
  <si>
    <t>Реализация металлопроката производится по теоретическому весу в соответствии с сертификатом качества металлургического комбината - производителя</t>
  </si>
  <si>
    <t>Прокат других отечественных производителей</t>
  </si>
  <si>
    <r>
      <t xml:space="preserve"> Лист г/к роспуск</t>
    </r>
    <r>
      <rPr>
        <sz val="12"/>
        <rFont val="Arial"/>
        <family val="2"/>
      </rPr>
      <t xml:space="preserve">
         Ст1-3кп/пс</t>
    </r>
  </si>
  <si>
    <t xml:space="preserve"> Лист ПВЛ</t>
  </si>
  <si>
    <t>1000 / 1250</t>
  </si>
  <si>
    <r>
      <t xml:space="preserve"> Лист рифл.
</t>
    </r>
    <r>
      <rPr>
        <sz val="12"/>
        <rFont val="Arial"/>
        <family val="2"/>
      </rPr>
      <t xml:space="preserve">             Ст1-3кп/пс</t>
    </r>
  </si>
  <si>
    <t>1250х6000</t>
  </si>
  <si>
    <r>
      <t xml:space="preserve"> Лист оцинк.</t>
    </r>
    <r>
      <rPr>
        <sz val="12"/>
        <rFont val="Arial"/>
        <family val="2"/>
      </rPr>
      <t xml:space="preserve">
             08кп/пс</t>
    </r>
  </si>
  <si>
    <r>
      <t xml:space="preserve">Цены указаны на условиях: </t>
    </r>
    <r>
      <rPr>
        <b/>
        <i/>
        <sz val="14"/>
        <rFont val="Arial Cyr"/>
        <family val="0"/>
      </rPr>
      <t>100 % предоплата !</t>
    </r>
  </si>
  <si>
    <r>
      <t xml:space="preserve">Возможна отсрочка платежа с увеличением цены </t>
    </r>
    <r>
      <rPr>
        <b/>
        <u val="double"/>
        <sz val="14"/>
        <rFont val="Arial Cyr"/>
        <family val="0"/>
      </rPr>
      <t>на 2 %</t>
    </r>
    <r>
      <rPr>
        <b/>
        <sz val="14"/>
        <rFont val="Arial Cyr"/>
        <family val="0"/>
      </rPr>
      <t xml:space="preserve"> !!!</t>
    </r>
  </si>
  <si>
    <t>Площадь,</t>
  </si>
  <si>
    <t>кв. мм</t>
  </si>
  <si>
    <t>1 рез</t>
  </si>
  <si>
    <t>С  П  Р  А  В  К  А   (Р О З Н И Ц А)</t>
  </si>
  <si>
    <t>Продукция производства ПАО "Алчевский МК" и ПАО "ДМК им. Дзержинского"</t>
  </si>
  <si>
    <t>Сортовой прокат</t>
  </si>
  <si>
    <t>Класс</t>
  </si>
  <si>
    <t>Размер, мм</t>
  </si>
  <si>
    <t>Длина, м</t>
  </si>
  <si>
    <t>1 м.п.</t>
  </si>
  <si>
    <t>м.п. / 1т</t>
  </si>
  <si>
    <t xml:space="preserve"> Уголок г/к</t>
  </si>
  <si>
    <t>40х40х4</t>
  </si>
  <si>
    <t>мера + 15% ндл</t>
  </si>
  <si>
    <t>40х40х5</t>
  </si>
  <si>
    <t>45х45х4</t>
  </si>
  <si>
    <t>45х45х5</t>
  </si>
  <si>
    <t>50х50х4</t>
  </si>
  <si>
    <t>50х50х5</t>
  </si>
  <si>
    <t>63х63х5</t>
  </si>
  <si>
    <t>63х63х6</t>
  </si>
  <si>
    <t>70х70х5</t>
  </si>
  <si>
    <t>70х70х7</t>
  </si>
  <si>
    <t>75х75х5</t>
  </si>
  <si>
    <t>75х75х6</t>
  </si>
  <si>
    <t>80х80х6</t>
  </si>
  <si>
    <t>80х80х7</t>
  </si>
  <si>
    <t>80х80х8</t>
  </si>
  <si>
    <t>90х90х6</t>
  </si>
  <si>
    <t>90х90х7</t>
  </si>
  <si>
    <t>90х90х8</t>
  </si>
  <si>
    <t>100х100х8</t>
  </si>
  <si>
    <t>100х100х9</t>
  </si>
  <si>
    <t xml:space="preserve"> Уголок г/к
отсортировка</t>
  </si>
  <si>
    <t>ндл</t>
  </si>
  <si>
    <t>100х100х7</t>
  </si>
  <si>
    <t xml:space="preserve"> Швеллер г/к</t>
  </si>
  <si>
    <t>6,5 У</t>
  </si>
  <si>
    <t>8 У</t>
  </si>
  <si>
    <t>10 У</t>
  </si>
  <si>
    <t>12 П</t>
  </si>
  <si>
    <t>14 П</t>
  </si>
  <si>
    <t>16 П</t>
  </si>
  <si>
    <t>18 П</t>
  </si>
  <si>
    <t>20 П</t>
  </si>
  <si>
    <t xml:space="preserve"> Швеллер г/к отсортировка</t>
  </si>
  <si>
    <t xml:space="preserve"> Арматура период.</t>
  </si>
  <si>
    <t>А500С</t>
  </si>
  <si>
    <t>бунт</t>
  </si>
  <si>
    <t xml:space="preserve"> Круг</t>
  </si>
  <si>
    <t>А240С</t>
  </si>
  <si>
    <t>6;  9;  12</t>
  </si>
  <si>
    <t>25х25х4</t>
  </si>
  <si>
    <t>32х32х4</t>
  </si>
  <si>
    <t>35х35х4</t>
  </si>
  <si>
    <t>25х25х3</t>
  </si>
  <si>
    <t>32х32х3</t>
  </si>
  <si>
    <t>35х35х3</t>
  </si>
  <si>
    <t>40х40х3</t>
  </si>
  <si>
    <t>25х25х3 зам.</t>
  </si>
  <si>
    <t>32х32х3 зам.</t>
  </si>
  <si>
    <t>35х35х3 зам.</t>
  </si>
  <si>
    <t>40х40х3 зам.</t>
  </si>
  <si>
    <t>40х40х4 зам.</t>
  </si>
  <si>
    <t>45х45х4 зам.</t>
  </si>
  <si>
    <t xml:space="preserve"> Уголок х/г</t>
  </si>
  <si>
    <t>50х50х3</t>
  </si>
  <si>
    <t>9;  12</t>
  </si>
  <si>
    <t>100х50х3</t>
  </si>
  <si>
    <t xml:space="preserve"> Квадрат</t>
  </si>
  <si>
    <t>6;  9</t>
  </si>
  <si>
    <t xml:space="preserve"> Полоса</t>
  </si>
  <si>
    <t>20х4</t>
  </si>
  <si>
    <t>25х4</t>
  </si>
  <si>
    <t>30х4</t>
  </si>
  <si>
    <t>40х4</t>
  </si>
  <si>
    <t>50х4</t>
  </si>
  <si>
    <t>Продукция производства ПАО "Трубосталь"</t>
  </si>
  <si>
    <t>Трубы эл/сварные ВГП, профильные, прямошовные</t>
  </si>
  <si>
    <t xml:space="preserve"> Труба ВГП</t>
  </si>
  <si>
    <r>
      <t>1/2</t>
    </r>
    <r>
      <rPr>
        <sz val="12"/>
        <rFont val="Arial Cyr"/>
        <family val="0"/>
      </rPr>
      <t>"</t>
    </r>
  </si>
  <si>
    <t>ДУ 15х2,5</t>
  </si>
  <si>
    <r>
      <t>3/4</t>
    </r>
    <r>
      <rPr>
        <sz val="12"/>
        <rFont val="Arial Cyr"/>
        <family val="0"/>
      </rPr>
      <t>"</t>
    </r>
  </si>
  <si>
    <t>ДУ 20х2,5</t>
  </si>
  <si>
    <t>ДУ 20х2,8</t>
  </si>
  <si>
    <r>
      <t>1</t>
    </r>
    <r>
      <rPr>
        <sz val="12"/>
        <rFont val="Arial Cyr"/>
        <family val="0"/>
      </rPr>
      <t>"</t>
    </r>
  </si>
  <si>
    <t>ДУ 25х2,5</t>
  </si>
  <si>
    <t>ДУ 25х2,8</t>
  </si>
  <si>
    <t>ДУ 25х3,2</t>
  </si>
  <si>
    <r>
      <t>1 1/4</t>
    </r>
    <r>
      <rPr>
        <sz val="12"/>
        <rFont val="Arial Cyr"/>
        <family val="0"/>
      </rPr>
      <t>"</t>
    </r>
  </si>
  <si>
    <t>ДУ 32х2,5</t>
  </si>
  <si>
    <t>ДУ 32х2,8</t>
  </si>
  <si>
    <t>ДУ 32х3,2</t>
  </si>
  <si>
    <r>
      <t>1 1/2</t>
    </r>
    <r>
      <rPr>
        <sz val="12"/>
        <rFont val="Arial Cyr"/>
        <family val="0"/>
      </rPr>
      <t>"</t>
    </r>
  </si>
  <si>
    <t>ДУ 40х3,0</t>
  </si>
  <si>
    <t>ДУ 40х3,5</t>
  </si>
  <si>
    <r>
      <t>2</t>
    </r>
    <r>
      <rPr>
        <sz val="12"/>
        <rFont val="Arial Cyr"/>
        <family val="0"/>
      </rPr>
      <t>"</t>
    </r>
  </si>
  <si>
    <t>ДУ 50х3,0</t>
  </si>
  <si>
    <t>ДУ 50х3,5</t>
  </si>
  <si>
    <t xml:space="preserve"> Труба проф.</t>
  </si>
  <si>
    <t>15х15х2</t>
  </si>
  <si>
    <t>17х17х2</t>
  </si>
  <si>
    <t>20х20х2</t>
  </si>
  <si>
    <t>25х25х2</t>
  </si>
  <si>
    <t>30х20х2</t>
  </si>
  <si>
    <t>30х30х2</t>
  </si>
  <si>
    <t>40х20х2</t>
  </si>
  <si>
    <t>40х25х2</t>
  </si>
  <si>
    <t>40х40х2</t>
  </si>
  <si>
    <t>50х25х2</t>
  </si>
  <si>
    <t>50х30х2</t>
  </si>
  <si>
    <t>50х50х2</t>
  </si>
  <si>
    <t>60х30х2</t>
  </si>
  <si>
    <t>60х40х2</t>
  </si>
  <si>
    <t>60х40х3</t>
  </si>
  <si>
    <t>60х60х2</t>
  </si>
  <si>
    <t>60х60х3</t>
  </si>
  <si>
    <t>80х40х2</t>
  </si>
  <si>
    <t>80х40х3</t>
  </si>
  <si>
    <t>80х60х2</t>
  </si>
  <si>
    <t>6;  12</t>
  </si>
  <si>
    <t>80х60х3</t>
  </si>
  <si>
    <t>80х80х2</t>
  </si>
  <si>
    <t>80х80х3</t>
  </si>
  <si>
    <t>100х60х3</t>
  </si>
  <si>
    <t>100х60х4</t>
  </si>
  <si>
    <t>100х100х3</t>
  </si>
  <si>
    <t>100х100х4</t>
  </si>
  <si>
    <t>120х80х3</t>
  </si>
  <si>
    <t>120х80х4</t>
  </si>
  <si>
    <t xml:space="preserve"> Труба эл/св.</t>
  </si>
  <si>
    <t>51х3,0</t>
  </si>
  <si>
    <t>57х3,0</t>
  </si>
  <si>
    <t>57х3,5</t>
  </si>
  <si>
    <t>76х3,0</t>
  </si>
  <si>
    <t>76х3,5</t>
  </si>
  <si>
    <t>89х3,0</t>
  </si>
  <si>
    <t>89х3,5</t>
  </si>
  <si>
    <t>102х3,5</t>
  </si>
  <si>
    <t>108х3,0</t>
  </si>
  <si>
    <t>108х3,5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</si>
</sst>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26">
    <font>
      <sz val="10"/>
      <name val="Arial"/>
      <family val="0"/>
    </font>
    <font>
      <b/>
      <i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u val="single"/>
      <sz val="14"/>
      <color indexed="12"/>
      <name val="Arial Cyr"/>
      <family val="0"/>
    </font>
    <font>
      <b/>
      <u val="single"/>
      <sz val="16"/>
      <color indexed="12"/>
      <name val="Arial Cyr"/>
      <family val="0"/>
    </font>
    <font>
      <b/>
      <u val="single"/>
      <sz val="14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u val="single"/>
      <sz val="11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color indexed="12"/>
      <name val="Arial"/>
      <family val="2"/>
    </font>
    <font>
      <b/>
      <u val="double"/>
      <sz val="14"/>
      <name val="Arial Cyr"/>
      <family val="0"/>
    </font>
    <font>
      <sz val="8"/>
      <name val="Arial"/>
      <family val="0"/>
    </font>
    <font>
      <b/>
      <i/>
      <sz val="11"/>
      <name val="Arial Cyr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15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9" fillId="0" borderId="0" xfId="18" applyFont="1" applyBorder="1" applyAlignment="1">
      <alignment vertical="center"/>
      <protection/>
    </xf>
    <xf numFmtId="1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8" fillId="0" borderId="0" xfId="18" applyFont="1" applyBorder="1" applyAlignment="1">
      <alignment vertical="center"/>
      <protection/>
    </xf>
    <xf numFmtId="4" fontId="8" fillId="0" borderId="0" xfId="0" applyNumberFormat="1" applyFont="1" applyBorder="1" applyAlignment="1">
      <alignment vertical="center"/>
    </xf>
    <xf numFmtId="188" fontId="0" fillId="0" borderId="0" xfId="0" applyNumberFormat="1" applyAlignment="1">
      <alignment horizontal="center"/>
    </xf>
    <xf numFmtId="189" fontId="0" fillId="0" borderId="0" xfId="0" applyNumberFormat="1" applyAlignment="1">
      <alignment horizontal="center"/>
    </xf>
    <xf numFmtId="14" fontId="1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188" fontId="0" fillId="0" borderId="1" xfId="0" applyNumberForma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188" fontId="15" fillId="2" borderId="2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188" fontId="14" fillId="2" borderId="4" xfId="0" applyNumberFormat="1" applyFont="1" applyFill="1" applyBorder="1" applyAlignment="1">
      <alignment horizontal="center" vertical="center"/>
    </xf>
    <xf numFmtId="189" fontId="14" fillId="2" borderId="5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1" fontId="17" fillId="0" borderId="8" xfId="18" applyNumberFormat="1" applyFont="1" applyBorder="1" applyAlignment="1">
      <alignment horizontal="center" vertical="center"/>
      <protection/>
    </xf>
    <xf numFmtId="188" fontId="17" fillId="0" borderId="8" xfId="18" applyNumberFormat="1" applyFont="1" applyBorder="1" applyAlignment="1">
      <alignment horizontal="center" vertical="center"/>
      <protection/>
    </xf>
    <xf numFmtId="0" fontId="17" fillId="0" borderId="9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189" fontId="9" fillId="0" borderId="1" xfId="0" applyNumberFormat="1" applyFont="1" applyBorder="1" applyAlignment="1">
      <alignment/>
    </xf>
    <xf numFmtId="188" fontId="9" fillId="0" borderId="11" xfId="0" applyNumberFormat="1" applyFont="1" applyFill="1" applyBorder="1" applyAlignment="1">
      <alignment horizontal="center" vertical="center"/>
    </xf>
    <xf numFmtId="189" fontId="9" fillId="0" borderId="3" xfId="0" applyNumberFormat="1" applyFont="1" applyBorder="1" applyAlignment="1">
      <alignment vertical="center"/>
    </xf>
    <xf numFmtId="188" fontId="9" fillId="0" borderId="12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88" fontId="17" fillId="0" borderId="13" xfId="18" applyNumberFormat="1" applyFont="1" applyBorder="1" applyAlignment="1">
      <alignment horizontal="center" vertical="center"/>
      <protection/>
    </xf>
    <xf numFmtId="0" fontId="17" fillId="0" borderId="14" xfId="0" applyFont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188" fontId="9" fillId="0" borderId="16" xfId="0" applyNumberFormat="1" applyFont="1" applyFill="1" applyBorder="1" applyAlignment="1">
      <alignment horizontal="center" vertical="center"/>
    </xf>
    <xf numFmtId="188" fontId="9" fillId="0" borderId="17" xfId="0" applyNumberFormat="1" applyFont="1" applyBorder="1" applyAlignment="1">
      <alignment horizontal="center" vertical="center"/>
    </xf>
    <xf numFmtId="189" fontId="9" fillId="0" borderId="15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88" fontId="17" fillId="0" borderId="13" xfId="18" applyNumberFormat="1" applyFont="1" applyFill="1" applyBorder="1" applyAlignment="1">
      <alignment horizontal="center" vertical="center"/>
      <protection/>
    </xf>
    <xf numFmtId="0" fontId="17" fillId="0" borderId="18" xfId="0" applyFont="1" applyFill="1" applyBorder="1" applyAlignment="1">
      <alignment horizontal="center" vertical="center"/>
    </xf>
    <xf numFmtId="188" fontId="17" fillId="0" borderId="18" xfId="18" applyNumberFormat="1" applyFont="1" applyFill="1" applyBorder="1" applyAlignment="1">
      <alignment horizontal="center" vertical="center"/>
      <protection/>
    </xf>
    <xf numFmtId="0" fontId="17" fillId="0" borderId="19" xfId="0" applyFont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188" fontId="9" fillId="0" borderId="21" xfId="0" applyNumberFormat="1" applyFont="1" applyFill="1" applyBorder="1" applyAlignment="1">
      <alignment horizontal="center" vertical="center"/>
    </xf>
    <xf numFmtId="188" fontId="9" fillId="0" borderId="22" xfId="0" applyNumberFormat="1" applyFont="1" applyBorder="1" applyAlignment="1">
      <alignment horizontal="center" vertical="center"/>
    </xf>
    <xf numFmtId="189" fontId="9" fillId="0" borderId="2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88" fontId="17" fillId="0" borderId="0" xfId="18" applyNumberFormat="1" applyFont="1" applyFill="1" applyBorder="1" applyAlignment="1">
      <alignment horizontal="center" vertical="center"/>
      <protection/>
    </xf>
    <xf numFmtId="0" fontId="17" fillId="0" borderId="23" xfId="0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188" fontId="9" fillId="0" borderId="3" xfId="0" applyNumberFormat="1" applyFont="1" applyFill="1" applyBorder="1" applyAlignment="1">
      <alignment horizontal="center" vertical="center"/>
    </xf>
    <xf numFmtId="188" fontId="9" fillId="0" borderId="1" xfId="0" applyNumberFormat="1" applyFont="1" applyBorder="1" applyAlignment="1">
      <alignment horizontal="center" vertical="center"/>
    </xf>
    <xf numFmtId="189" fontId="9" fillId="0" borderId="24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88" fontId="17" fillId="0" borderId="8" xfId="18" applyNumberFormat="1" applyFont="1" applyFill="1" applyBorder="1" applyAlignment="1">
      <alignment horizontal="center" vertical="center"/>
      <protection/>
    </xf>
    <xf numFmtId="0" fontId="17" fillId="0" borderId="14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188" fontId="17" fillId="0" borderId="26" xfId="18" applyNumberFormat="1" applyFont="1" applyFill="1" applyBorder="1" applyAlignment="1">
      <alignment horizontal="center" vertical="center"/>
      <protection/>
    </xf>
    <xf numFmtId="0" fontId="17" fillId="0" borderId="27" xfId="0" applyFont="1" applyBorder="1" applyAlignment="1">
      <alignment horizontal="center" vertical="center"/>
    </xf>
    <xf numFmtId="3" fontId="17" fillId="0" borderId="26" xfId="0" applyNumberFormat="1" applyFont="1" applyFill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/>
    </xf>
    <xf numFmtId="188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188" fontId="9" fillId="0" borderId="25" xfId="0" applyNumberFormat="1" applyFont="1" applyBorder="1" applyAlignment="1">
      <alignment horizontal="center" vertical="center"/>
    </xf>
    <xf numFmtId="189" fontId="9" fillId="0" borderId="29" xfId="0" applyNumberFormat="1" applyFont="1" applyBorder="1" applyAlignment="1">
      <alignment horizontal="center" vertical="center"/>
    </xf>
    <xf numFmtId="0" fontId="18" fillId="0" borderId="0" xfId="18" applyFont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18" applyFont="1" applyBorder="1" applyAlignment="1">
      <alignment vertical="center"/>
      <protection/>
    </xf>
    <xf numFmtId="3" fontId="17" fillId="0" borderId="8" xfId="0" applyNumberFormat="1" applyFont="1" applyFill="1" applyBorder="1" applyAlignment="1">
      <alignment horizontal="center" vertical="center"/>
    </xf>
    <xf numFmtId="1" fontId="17" fillId="0" borderId="13" xfId="18" applyNumberFormat="1" applyFont="1" applyBorder="1" applyAlignment="1">
      <alignment horizontal="center" vertical="center"/>
      <protection/>
    </xf>
    <xf numFmtId="3" fontId="17" fillId="0" borderId="15" xfId="0" applyNumberFormat="1" applyFont="1" applyFill="1" applyBorder="1" applyAlignment="1">
      <alignment horizontal="center" vertical="center"/>
    </xf>
    <xf numFmtId="188" fontId="17" fillId="0" borderId="18" xfId="18" applyNumberFormat="1" applyFont="1" applyBorder="1" applyAlignment="1">
      <alignment horizontal="center" vertical="center"/>
      <protection/>
    </xf>
    <xf numFmtId="3" fontId="17" fillId="0" borderId="20" xfId="0" applyNumberFormat="1" applyFont="1" applyFill="1" applyBorder="1" applyAlignment="1">
      <alignment horizontal="center" vertical="center"/>
    </xf>
    <xf numFmtId="49" fontId="17" fillId="0" borderId="8" xfId="18" applyNumberFormat="1" applyFont="1" applyFill="1" applyBorder="1" applyAlignment="1">
      <alignment horizontal="center" vertical="center"/>
      <protection/>
    </xf>
    <xf numFmtId="49" fontId="17" fillId="0" borderId="18" xfId="18" applyNumberFormat="1" applyFont="1" applyFill="1" applyBorder="1" applyAlignment="1">
      <alignment horizontal="center" vertical="center"/>
      <protection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188" fontId="19" fillId="0" borderId="26" xfId="18" applyNumberFormat="1" applyFont="1" applyFill="1" applyBorder="1" applyAlignment="1">
      <alignment horizontal="center" vertical="center"/>
      <protection/>
    </xf>
    <xf numFmtId="0" fontId="19" fillId="0" borderId="27" xfId="0" applyFont="1" applyBorder="1" applyAlignment="1">
      <alignment horizontal="center" vertical="center"/>
    </xf>
    <xf numFmtId="3" fontId="19" fillId="0" borderId="26" xfId="0" applyNumberFormat="1" applyFont="1" applyFill="1" applyBorder="1" applyAlignment="1">
      <alignment horizontal="center" vertical="center"/>
    </xf>
    <xf numFmtId="3" fontId="19" fillId="0" borderId="26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/>
    </xf>
    <xf numFmtId="188" fontId="0" fillId="0" borderId="25" xfId="0" applyNumberFormat="1" applyBorder="1" applyAlignment="1">
      <alignment horizontal="center" vertical="center"/>
    </xf>
    <xf numFmtId="189" fontId="0" fillId="0" borderId="29" xfId="0" applyNumberFormat="1" applyBorder="1" applyAlignment="1">
      <alignment horizontal="center" vertical="center"/>
    </xf>
    <xf numFmtId="188" fontId="19" fillId="0" borderId="0" xfId="18" applyNumberFormat="1" applyFont="1" applyFill="1" applyBorder="1" applyAlignment="1">
      <alignment horizontal="center" vertical="center"/>
      <protection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14" fontId="18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3" fontId="17" fillId="0" borderId="13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17" fillId="0" borderId="18" xfId="0" applyNumberFormat="1" applyFont="1" applyFill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2" fontId="17" fillId="0" borderId="8" xfId="18" applyNumberFormat="1" applyFont="1" applyFill="1" applyBorder="1" applyAlignment="1">
      <alignment horizontal="center" vertical="center"/>
      <protection/>
    </xf>
    <xf numFmtId="2" fontId="17" fillId="0" borderId="13" xfId="18" applyNumberFormat="1" applyFont="1" applyFill="1" applyBorder="1" applyAlignment="1">
      <alignment horizontal="center" vertical="center"/>
      <protection/>
    </xf>
    <xf numFmtId="0" fontId="11" fillId="0" borderId="0" xfId="18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1" fillId="0" borderId="0" xfId="18" applyFont="1" applyBorder="1" applyAlignment="1">
      <alignment vertical="center"/>
      <protection/>
    </xf>
    <xf numFmtId="4" fontId="14" fillId="2" borderId="30" xfId="0" applyNumberFormat="1" applyFont="1" applyFill="1" applyBorder="1" applyAlignment="1">
      <alignment horizontal="center" vertical="center"/>
    </xf>
    <xf numFmtId="4" fontId="14" fillId="2" borderId="3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Border="1" applyAlignment="1">
      <alignment horizontal="center"/>
    </xf>
    <xf numFmtId="4" fontId="0" fillId="0" borderId="24" xfId="0" applyNumberFormat="1" applyBorder="1" applyAlignment="1">
      <alignment/>
    </xf>
    <xf numFmtId="1" fontId="14" fillId="2" borderId="3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/>
    </xf>
    <xf numFmtId="0" fontId="16" fillId="0" borderId="12" xfId="0" applyFont="1" applyFill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188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188" fontId="9" fillId="0" borderId="11" xfId="0" applyNumberFormat="1" applyFont="1" applyBorder="1" applyAlignment="1">
      <alignment horizontal="center" vertical="center"/>
    </xf>
    <xf numFmtId="188" fontId="9" fillId="0" borderId="16" xfId="0" applyNumberFormat="1" applyFont="1" applyBorder="1" applyAlignment="1">
      <alignment horizontal="center" vertical="center"/>
    </xf>
    <xf numFmtId="188" fontId="9" fillId="0" borderId="21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189" fontId="9" fillId="0" borderId="1" xfId="0" applyNumberFormat="1" applyFont="1" applyBorder="1" applyAlignment="1">
      <alignment vertical="center"/>
    </xf>
    <xf numFmtId="188" fontId="0" fillId="0" borderId="28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4" fontId="0" fillId="0" borderId="28" xfId="0" applyNumberFormat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3" fontId="17" fillId="0" borderId="8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89" fontId="9" fillId="0" borderId="12" xfId="0" applyNumberFormat="1" applyFont="1" applyFill="1" applyBorder="1" applyAlignment="1">
      <alignment horizontal="center" vertical="justify"/>
    </xf>
    <xf numFmtId="189" fontId="9" fillId="0" borderId="33" xfId="0" applyNumberFormat="1" applyFont="1" applyFill="1" applyBorder="1" applyAlignment="1">
      <alignment horizontal="center" vertical="justify"/>
    </xf>
    <xf numFmtId="189" fontId="9" fillId="0" borderId="0" xfId="0" applyNumberFormat="1" applyFont="1" applyBorder="1" applyAlignment="1">
      <alignment vertical="justify"/>
    </xf>
    <xf numFmtId="188" fontId="9" fillId="0" borderId="12" xfId="0" applyNumberFormat="1" applyFont="1" applyBorder="1" applyAlignment="1">
      <alignment horizontal="center" vertical="justify"/>
    </xf>
    <xf numFmtId="189" fontId="9" fillId="0" borderId="8" xfId="0" applyNumberFormat="1" applyFont="1" applyBorder="1" applyAlignment="1">
      <alignment horizontal="center" vertical="justify"/>
    </xf>
    <xf numFmtId="189" fontId="9" fillId="0" borderId="33" xfId="0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/>
    </xf>
    <xf numFmtId="4" fontId="9" fillId="0" borderId="11" xfId="0" applyNumberFormat="1" applyFont="1" applyBorder="1" applyAlignment="1">
      <alignment horizontal="center" vertical="justify"/>
    </xf>
    <xf numFmtId="189" fontId="9" fillId="0" borderId="17" xfId="0" applyNumberFormat="1" applyFont="1" applyFill="1" applyBorder="1" applyAlignment="1">
      <alignment horizontal="center" vertical="justify"/>
    </xf>
    <xf numFmtId="189" fontId="9" fillId="0" borderId="34" xfId="0" applyNumberFormat="1" applyFont="1" applyFill="1" applyBorder="1" applyAlignment="1">
      <alignment horizontal="center" vertical="justify"/>
    </xf>
    <xf numFmtId="188" fontId="9" fillId="0" borderId="17" xfId="0" applyNumberFormat="1" applyFont="1" applyBorder="1" applyAlignment="1">
      <alignment horizontal="center" vertical="justify"/>
    </xf>
    <xf numFmtId="189" fontId="9" fillId="0" borderId="13" xfId="0" applyNumberFormat="1" applyFont="1" applyBorder="1" applyAlignment="1">
      <alignment horizontal="center" vertical="justify"/>
    </xf>
    <xf numFmtId="189" fontId="9" fillId="0" borderId="34" xfId="0" applyNumberFormat="1" applyFont="1" applyBorder="1" applyAlignment="1">
      <alignment horizontal="center" vertical="justify"/>
    </xf>
    <xf numFmtId="4" fontId="9" fillId="0" borderId="16" xfId="0" applyNumberFormat="1" applyFont="1" applyBorder="1" applyAlignment="1">
      <alignment horizontal="center" vertical="justify"/>
    </xf>
    <xf numFmtId="189" fontId="9" fillId="0" borderId="22" xfId="0" applyNumberFormat="1" applyFont="1" applyFill="1" applyBorder="1" applyAlignment="1">
      <alignment horizontal="center" vertical="justify"/>
    </xf>
    <xf numFmtId="189" fontId="9" fillId="0" borderId="35" xfId="0" applyNumberFormat="1" applyFont="1" applyFill="1" applyBorder="1" applyAlignment="1">
      <alignment horizontal="center" vertical="justify"/>
    </xf>
    <xf numFmtId="188" fontId="9" fillId="0" borderId="22" xfId="0" applyNumberFormat="1" applyFont="1" applyBorder="1" applyAlignment="1">
      <alignment horizontal="center" vertical="justify"/>
    </xf>
    <xf numFmtId="189" fontId="9" fillId="0" borderId="18" xfId="0" applyNumberFormat="1" applyFont="1" applyBorder="1" applyAlignment="1">
      <alignment horizontal="center" vertical="justify"/>
    </xf>
    <xf numFmtId="189" fontId="9" fillId="0" borderId="35" xfId="0" applyNumberFormat="1" applyFont="1" applyBorder="1" applyAlignment="1">
      <alignment horizontal="center" vertical="justify"/>
    </xf>
    <xf numFmtId="4" fontId="9" fillId="0" borderId="21" xfId="0" applyNumberFormat="1" applyFont="1" applyBorder="1" applyAlignment="1">
      <alignment horizontal="center" vertical="justify"/>
    </xf>
    <xf numFmtId="189" fontId="9" fillId="0" borderId="1" xfId="0" applyNumberFormat="1" applyFont="1" applyFill="1" applyBorder="1" applyAlignment="1">
      <alignment horizontal="center" vertical="justify"/>
    </xf>
    <xf numFmtId="189" fontId="9" fillId="0" borderId="36" xfId="0" applyNumberFormat="1" applyFont="1" applyFill="1" applyBorder="1" applyAlignment="1">
      <alignment horizontal="center" vertical="justify"/>
    </xf>
    <xf numFmtId="188" fontId="9" fillId="0" borderId="1" xfId="0" applyNumberFormat="1" applyFont="1" applyBorder="1" applyAlignment="1">
      <alignment horizontal="center" vertical="justify"/>
    </xf>
    <xf numFmtId="189" fontId="9" fillId="0" borderId="0" xfId="0" applyNumberFormat="1" applyFont="1" applyBorder="1" applyAlignment="1">
      <alignment horizontal="center" vertical="justify"/>
    </xf>
    <xf numFmtId="189" fontId="9" fillId="0" borderId="36" xfId="0" applyNumberFormat="1" applyFont="1" applyBorder="1" applyAlignment="1">
      <alignment horizontal="center" vertical="justify"/>
    </xf>
    <xf numFmtId="4" fontId="9" fillId="0" borderId="3" xfId="0" applyNumberFormat="1" applyFont="1" applyBorder="1" applyAlignment="1">
      <alignment horizontal="center" vertical="justify"/>
    </xf>
    <xf numFmtId="189" fontId="9" fillId="0" borderId="24" xfId="0" applyNumberFormat="1" applyFont="1" applyBorder="1" applyAlignment="1">
      <alignment vertical="justify"/>
    </xf>
    <xf numFmtId="1" fontId="17" fillId="0" borderId="8" xfId="18" applyNumberFormat="1" applyFont="1" applyFill="1" applyBorder="1" applyAlignment="1">
      <alignment horizontal="center" vertical="center"/>
      <protection/>
    </xf>
    <xf numFmtId="0" fontId="17" fillId="0" borderId="9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189" fontId="9" fillId="0" borderId="1" xfId="0" applyNumberFormat="1" applyFont="1" applyFill="1" applyBorder="1" applyAlignment="1">
      <alignment/>
    </xf>
    <xf numFmtId="189" fontId="9" fillId="0" borderId="24" xfId="0" applyNumberFormat="1" applyFont="1" applyFill="1" applyBorder="1" applyAlignment="1">
      <alignment vertical="justify"/>
    </xf>
    <xf numFmtId="188" fontId="9" fillId="0" borderId="12" xfId="0" applyNumberFormat="1" applyFont="1" applyFill="1" applyBorder="1" applyAlignment="1">
      <alignment horizontal="center" vertical="justify"/>
    </xf>
    <xf numFmtId="189" fontId="9" fillId="0" borderId="8" xfId="0" applyNumberFormat="1" applyFont="1" applyFill="1" applyBorder="1" applyAlignment="1">
      <alignment horizontal="center" vertical="justify"/>
    </xf>
    <xf numFmtId="3" fontId="0" fillId="0" borderId="0" xfId="0" applyNumberFormat="1" applyFill="1" applyBorder="1" applyAlignment="1">
      <alignment/>
    </xf>
    <xf numFmtId="4" fontId="9" fillId="0" borderId="11" xfId="0" applyNumberFormat="1" applyFont="1" applyFill="1" applyBorder="1" applyAlignment="1">
      <alignment horizontal="center" vertical="justify"/>
    </xf>
    <xf numFmtId="188" fontId="9" fillId="0" borderId="17" xfId="0" applyNumberFormat="1" applyFont="1" applyFill="1" applyBorder="1" applyAlignment="1">
      <alignment horizontal="center" vertical="justify"/>
    </xf>
    <xf numFmtId="189" fontId="9" fillId="0" borderId="13" xfId="0" applyNumberFormat="1" applyFont="1" applyFill="1" applyBorder="1" applyAlignment="1">
      <alignment horizontal="center" vertical="justify"/>
    </xf>
    <xf numFmtId="4" fontId="9" fillId="0" borderId="16" xfId="0" applyNumberFormat="1" applyFont="1" applyFill="1" applyBorder="1" applyAlignment="1">
      <alignment horizontal="center" vertical="justify"/>
    </xf>
    <xf numFmtId="189" fontId="9" fillId="0" borderId="0" xfId="0" applyNumberFormat="1" applyFont="1" applyFill="1" applyBorder="1" applyAlignment="1">
      <alignment vertical="justify"/>
    </xf>
    <xf numFmtId="0" fontId="0" fillId="0" borderId="0" xfId="0" applyFill="1" applyBorder="1" applyAlignment="1">
      <alignment/>
    </xf>
    <xf numFmtId="0" fontId="17" fillId="0" borderId="19" xfId="0" applyFont="1" applyFill="1" applyBorder="1" applyAlignment="1">
      <alignment horizontal="center" vertical="center"/>
    </xf>
    <xf numFmtId="188" fontId="9" fillId="0" borderId="22" xfId="0" applyNumberFormat="1" applyFont="1" applyFill="1" applyBorder="1" applyAlignment="1">
      <alignment horizontal="center" vertical="justify"/>
    </xf>
    <xf numFmtId="189" fontId="9" fillId="0" borderId="18" xfId="0" applyNumberFormat="1" applyFont="1" applyFill="1" applyBorder="1" applyAlignment="1">
      <alignment horizontal="center" vertical="justify"/>
    </xf>
    <xf numFmtId="4" fontId="9" fillId="0" borderId="21" xfId="0" applyNumberFormat="1" applyFont="1" applyFill="1" applyBorder="1" applyAlignment="1">
      <alignment horizontal="center" vertical="justify"/>
    </xf>
    <xf numFmtId="1" fontId="17" fillId="0" borderId="18" xfId="18" applyNumberFormat="1" applyFont="1" applyFill="1" applyBorder="1" applyAlignment="1">
      <alignment horizontal="center" vertical="center"/>
      <protection/>
    </xf>
    <xf numFmtId="189" fontId="9" fillId="0" borderId="25" xfId="0" applyNumberFormat="1" applyFont="1" applyBorder="1" applyAlignment="1">
      <alignment horizontal="center" vertical="justify"/>
    </xf>
    <xf numFmtId="189" fontId="9" fillId="0" borderId="37" xfId="0" applyNumberFormat="1" applyFont="1" applyBorder="1" applyAlignment="1">
      <alignment horizontal="center" vertical="justify"/>
    </xf>
    <xf numFmtId="0" fontId="9" fillId="0" borderId="26" xfId="0" applyFont="1" applyBorder="1" applyAlignment="1">
      <alignment vertical="justify"/>
    </xf>
    <xf numFmtId="188" fontId="9" fillId="0" borderId="25" xfId="0" applyNumberFormat="1" applyFont="1" applyBorder="1" applyAlignment="1">
      <alignment horizontal="center" vertical="justify"/>
    </xf>
    <xf numFmtId="189" fontId="9" fillId="0" borderId="26" xfId="0" applyNumberFormat="1" applyFont="1" applyBorder="1" applyAlignment="1">
      <alignment horizontal="center" vertical="justify"/>
    </xf>
    <xf numFmtId="0" fontId="0" fillId="0" borderId="26" xfId="0" applyBorder="1" applyAlignment="1">
      <alignment/>
    </xf>
    <xf numFmtId="188" fontId="9" fillId="0" borderId="26" xfId="0" applyNumberFormat="1" applyFont="1" applyBorder="1" applyAlignment="1">
      <alignment horizontal="center" vertical="justify"/>
    </xf>
    <xf numFmtId="4" fontId="9" fillId="0" borderId="28" xfId="0" applyNumberFormat="1" applyFont="1" applyBorder="1" applyAlignment="1">
      <alignment horizontal="center" vertical="justify"/>
    </xf>
    <xf numFmtId="0" fontId="9" fillId="0" borderId="0" xfId="0" applyFont="1" applyBorder="1" applyAlignment="1">
      <alignment vertical="justify"/>
    </xf>
    <xf numFmtId="1" fontId="17" fillId="0" borderId="13" xfId="18" applyNumberFormat="1" applyFont="1" applyFill="1" applyBorder="1" applyAlignment="1">
      <alignment horizontal="center" vertical="center"/>
      <protection/>
    </xf>
    <xf numFmtId="2" fontId="17" fillId="0" borderId="14" xfId="0" applyNumberFormat="1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189" fontId="14" fillId="0" borderId="25" xfId="0" applyNumberFormat="1" applyFont="1" applyBorder="1" applyAlignment="1">
      <alignment horizontal="center" vertical="justify"/>
    </xf>
    <xf numFmtId="189" fontId="14" fillId="0" borderId="37" xfId="0" applyNumberFormat="1" applyFont="1" applyBorder="1" applyAlignment="1">
      <alignment horizontal="center" vertical="justify"/>
    </xf>
    <xf numFmtId="0" fontId="14" fillId="0" borderId="26" xfId="0" applyFont="1" applyBorder="1" applyAlignment="1">
      <alignment vertical="justify"/>
    </xf>
    <xf numFmtId="188" fontId="14" fillId="0" borderId="25" xfId="0" applyNumberFormat="1" applyFont="1" applyBorder="1" applyAlignment="1">
      <alignment horizontal="center" vertical="justify"/>
    </xf>
    <xf numFmtId="189" fontId="14" fillId="0" borderId="26" xfId="0" applyNumberFormat="1" applyFont="1" applyBorder="1" applyAlignment="1">
      <alignment horizontal="center" vertical="justify"/>
    </xf>
    <xf numFmtId="4" fontId="14" fillId="0" borderId="28" xfId="0" applyNumberFormat="1" applyFont="1" applyBorder="1" applyAlignment="1">
      <alignment horizontal="center" vertical="justify"/>
    </xf>
    <xf numFmtId="189" fontId="9" fillId="0" borderId="0" xfId="0" applyNumberFormat="1" applyFont="1" applyAlignment="1">
      <alignment horizontal="center"/>
    </xf>
    <xf numFmtId="3" fontId="17" fillId="0" borderId="15" xfId="0" applyNumberFormat="1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>
      <alignment horizontal="center"/>
    </xf>
    <xf numFmtId="14" fontId="24" fillId="0" borderId="0" xfId="0" applyNumberFormat="1" applyFont="1" applyBorder="1" applyAlignment="1">
      <alignment horizontal="right" vertical="center"/>
    </xf>
    <xf numFmtId="14" fontId="24" fillId="0" borderId="0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/>
    </xf>
    <xf numFmtId="189" fontId="9" fillId="0" borderId="12" xfId="0" applyNumberFormat="1" applyFont="1" applyFill="1" applyBorder="1" applyAlignment="1">
      <alignment horizontal="center" vertical="center"/>
    </xf>
    <xf numFmtId="189" fontId="9" fillId="0" borderId="33" xfId="0" applyNumberFormat="1" applyFont="1" applyFill="1" applyBorder="1" applyAlignment="1">
      <alignment horizontal="center" vertical="center"/>
    </xf>
    <xf numFmtId="189" fontId="9" fillId="0" borderId="12" xfId="0" applyNumberFormat="1" applyFont="1" applyBorder="1" applyAlignment="1">
      <alignment horizontal="center" vertical="center"/>
    </xf>
    <xf numFmtId="189" fontId="9" fillId="0" borderId="8" xfId="0" applyNumberFormat="1" applyFont="1" applyBorder="1" applyAlignment="1">
      <alignment horizontal="center" vertical="center"/>
    </xf>
    <xf numFmtId="189" fontId="9" fillId="0" borderId="33" xfId="0" applyNumberFormat="1" applyFont="1" applyBorder="1" applyAlignment="1">
      <alignment horizontal="center" vertical="center"/>
    </xf>
    <xf numFmtId="189" fontId="0" fillId="0" borderId="0" xfId="0" applyNumberFormat="1" applyBorder="1" applyAlignment="1">
      <alignment/>
    </xf>
    <xf numFmtId="189" fontId="9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89" fontId="9" fillId="0" borderId="17" xfId="0" applyNumberFormat="1" applyFont="1" applyFill="1" applyBorder="1" applyAlignment="1">
      <alignment horizontal="center" vertical="center"/>
    </xf>
    <xf numFmtId="189" fontId="9" fillId="0" borderId="34" xfId="0" applyNumberFormat="1" applyFont="1" applyFill="1" applyBorder="1" applyAlignment="1">
      <alignment horizontal="center" vertical="center"/>
    </xf>
    <xf numFmtId="189" fontId="9" fillId="0" borderId="17" xfId="0" applyNumberFormat="1" applyFont="1" applyBorder="1" applyAlignment="1">
      <alignment horizontal="center" vertical="center"/>
    </xf>
    <xf numFmtId="189" fontId="9" fillId="0" borderId="13" xfId="0" applyNumberFormat="1" applyFont="1" applyBorder="1" applyAlignment="1">
      <alignment horizontal="center" vertical="center"/>
    </xf>
    <xf numFmtId="189" fontId="9" fillId="0" borderId="34" xfId="0" applyNumberFormat="1" applyFont="1" applyBorder="1" applyAlignment="1">
      <alignment horizontal="center" vertical="center"/>
    </xf>
    <xf numFmtId="189" fontId="9" fillId="0" borderId="16" xfId="0" applyNumberFormat="1" applyFont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189" fontId="9" fillId="0" borderId="22" xfId="0" applyNumberFormat="1" applyFont="1" applyFill="1" applyBorder="1" applyAlignment="1">
      <alignment horizontal="center" vertical="center"/>
    </xf>
    <xf numFmtId="189" fontId="9" fillId="0" borderId="35" xfId="0" applyNumberFormat="1" applyFont="1" applyFill="1" applyBorder="1" applyAlignment="1">
      <alignment horizontal="center" vertical="center"/>
    </xf>
    <xf numFmtId="189" fontId="9" fillId="0" borderId="22" xfId="0" applyNumberFormat="1" applyFont="1" applyBorder="1" applyAlignment="1">
      <alignment horizontal="center" vertical="center"/>
    </xf>
    <xf numFmtId="189" fontId="9" fillId="0" borderId="18" xfId="0" applyNumberFormat="1" applyFont="1" applyBorder="1" applyAlignment="1">
      <alignment horizontal="center" vertical="center"/>
    </xf>
    <xf numFmtId="189" fontId="9" fillId="0" borderId="35" xfId="0" applyNumberFormat="1" applyFont="1" applyBorder="1" applyAlignment="1">
      <alignment horizontal="center" vertical="center"/>
    </xf>
    <xf numFmtId="189" fontId="9" fillId="0" borderId="21" xfId="0" applyNumberFormat="1" applyFont="1" applyBorder="1" applyAlignment="1">
      <alignment horizontal="center" vertical="center"/>
    </xf>
    <xf numFmtId="189" fontId="9" fillId="0" borderId="1" xfId="0" applyNumberFormat="1" applyFont="1" applyFill="1" applyBorder="1" applyAlignment="1">
      <alignment horizontal="center" vertical="center"/>
    </xf>
    <xf numFmtId="189" fontId="9" fillId="0" borderId="36" xfId="0" applyNumberFormat="1" applyFont="1" applyFill="1" applyBorder="1" applyAlignment="1">
      <alignment horizontal="center" vertical="center"/>
    </xf>
    <xf numFmtId="189" fontId="9" fillId="0" borderId="1" xfId="0" applyNumberFormat="1" applyFont="1" applyBorder="1" applyAlignment="1">
      <alignment horizontal="center" vertical="center"/>
    </xf>
    <xf numFmtId="189" fontId="9" fillId="0" borderId="0" xfId="0" applyNumberFormat="1" applyFont="1" applyBorder="1" applyAlignment="1">
      <alignment horizontal="center" vertical="center"/>
    </xf>
    <xf numFmtId="189" fontId="9" fillId="0" borderId="36" xfId="0" applyNumberFormat="1" applyFont="1" applyBorder="1" applyAlignment="1">
      <alignment horizontal="center" vertical="center"/>
    </xf>
    <xf numFmtId="189" fontId="9" fillId="0" borderId="3" xfId="0" applyNumberFormat="1" applyFont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89" fontId="0" fillId="0" borderId="25" xfId="0" applyNumberFormat="1" applyFill="1" applyBorder="1" applyAlignment="1">
      <alignment horizontal="center" vertical="center"/>
    </xf>
    <xf numFmtId="189" fontId="0" fillId="0" borderId="37" xfId="0" applyNumberFormat="1" applyFill="1" applyBorder="1" applyAlignment="1">
      <alignment horizontal="center" vertical="center"/>
    </xf>
    <xf numFmtId="189" fontId="0" fillId="0" borderId="25" xfId="0" applyNumberFormat="1" applyBorder="1" applyAlignment="1">
      <alignment horizontal="center" vertical="center"/>
    </xf>
    <xf numFmtId="189" fontId="0" fillId="0" borderId="26" xfId="0" applyNumberFormat="1" applyBorder="1" applyAlignment="1">
      <alignment horizontal="center" vertical="center"/>
    </xf>
    <xf numFmtId="189" fontId="0" fillId="0" borderId="37" xfId="0" applyNumberFormat="1" applyBorder="1" applyAlignment="1">
      <alignment horizontal="center" vertical="center"/>
    </xf>
    <xf numFmtId="189" fontId="0" fillId="0" borderId="28" xfId="0" applyNumberFormat="1" applyBorder="1" applyAlignment="1">
      <alignment horizontal="center" vertical="center"/>
    </xf>
    <xf numFmtId="14" fontId="11" fillId="0" borderId="0" xfId="0" applyNumberFormat="1" applyFont="1" applyBorder="1" applyAlignment="1">
      <alignment/>
    </xf>
    <xf numFmtId="3" fontId="19" fillId="0" borderId="8" xfId="0" applyNumberFormat="1" applyFont="1" applyFill="1" applyBorder="1" applyAlignment="1">
      <alignment horizontal="center" vertical="center"/>
    </xf>
    <xf numFmtId="4" fontId="14" fillId="2" borderId="38" xfId="0" applyNumberFormat="1" applyFont="1" applyFill="1" applyBorder="1" applyAlignment="1">
      <alignment horizontal="center" vertical="center"/>
    </xf>
    <xf numFmtId="4" fontId="14" fillId="2" borderId="28" xfId="0" applyNumberFormat="1" applyFont="1" applyFill="1" applyBorder="1" applyAlignment="1">
      <alignment horizontal="center" vertical="center"/>
    </xf>
    <xf numFmtId="188" fontId="14" fillId="2" borderId="38" xfId="0" applyNumberFormat="1" applyFont="1" applyFill="1" applyBorder="1" applyAlignment="1">
      <alignment horizontal="center" vertical="center"/>
    </xf>
    <xf numFmtId="188" fontId="14" fillId="2" borderId="3" xfId="0" applyNumberFormat="1" applyFont="1" applyFill="1" applyBorder="1" applyAlignment="1">
      <alignment horizontal="center" vertical="center"/>
    </xf>
    <xf numFmtId="188" fontId="14" fillId="2" borderId="39" xfId="0" applyNumberFormat="1" applyFont="1" applyFill="1" applyBorder="1" applyAlignment="1">
      <alignment horizontal="center" vertical="center"/>
    </xf>
    <xf numFmtId="188" fontId="14" fillId="2" borderId="1" xfId="0" applyNumberFormat="1" applyFont="1" applyFill="1" applyBorder="1" applyAlignment="1">
      <alignment horizontal="center" vertical="center"/>
    </xf>
    <xf numFmtId="189" fontId="14" fillId="2" borderId="40" xfId="0" applyNumberFormat="1" applyFont="1" applyFill="1" applyBorder="1" applyAlignment="1">
      <alignment horizontal="center" vertical="center"/>
    </xf>
    <xf numFmtId="189" fontId="14" fillId="2" borderId="24" xfId="0" applyNumberFormat="1" applyFont="1" applyFill="1" applyBorder="1" applyAlignment="1">
      <alignment horizontal="center" vertical="center"/>
    </xf>
    <xf numFmtId="1" fontId="14" fillId="2" borderId="38" xfId="0" applyNumberFormat="1" applyFont="1" applyFill="1" applyBorder="1" applyAlignment="1">
      <alignment horizontal="center" vertical="center"/>
    </xf>
    <xf numFmtId="1" fontId="14" fillId="2" borderId="28" xfId="0" applyNumberFormat="1" applyFont="1" applyFill="1" applyBorder="1" applyAlignment="1">
      <alignment horizontal="center" vertical="center"/>
    </xf>
    <xf numFmtId="4" fontId="14" fillId="2" borderId="41" xfId="0" applyNumberFormat="1" applyFont="1" applyFill="1" applyBorder="1" applyAlignment="1">
      <alignment horizontal="center" vertical="center"/>
    </xf>
    <xf numFmtId="0" fontId="20" fillId="0" borderId="0" xfId="18" applyFont="1" applyFill="1" applyBorder="1" applyAlignment="1">
      <alignment horizontal="left" vertical="center"/>
      <protection/>
    </xf>
    <xf numFmtId="0" fontId="4" fillId="0" borderId="0" xfId="18" applyFont="1" applyBorder="1" applyAlignment="1">
      <alignment horizontal="center" vertical="center"/>
      <protection/>
    </xf>
    <xf numFmtId="188" fontId="4" fillId="0" borderId="42" xfId="0" applyNumberFormat="1" applyFont="1" applyBorder="1" applyAlignment="1">
      <alignment horizontal="center"/>
    </xf>
    <xf numFmtId="188" fontId="4" fillId="0" borderId="43" xfId="0" applyNumberFormat="1" applyFont="1" applyBorder="1" applyAlignment="1">
      <alignment horizontal="center"/>
    </xf>
    <xf numFmtId="188" fontId="4" fillId="0" borderId="44" xfId="0" applyNumberFormat="1" applyFont="1" applyBorder="1" applyAlignment="1">
      <alignment horizontal="center"/>
    </xf>
    <xf numFmtId="188" fontId="14" fillId="2" borderId="28" xfId="0" applyNumberFormat="1" applyFont="1" applyFill="1" applyBorder="1" applyAlignment="1">
      <alignment horizontal="center" vertical="center"/>
    </xf>
    <xf numFmtId="188" fontId="14" fillId="2" borderId="25" xfId="0" applyNumberFormat="1" applyFont="1" applyFill="1" applyBorder="1" applyAlignment="1">
      <alignment horizontal="center" vertical="center"/>
    </xf>
    <xf numFmtId="189" fontId="14" fillId="2" borderId="45" xfId="0" applyNumberFormat="1" applyFont="1" applyFill="1" applyBorder="1" applyAlignment="1">
      <alignment horizontal="center" vertical="center"/>
    </xf>
    <xf numFmtId="189" fontId="14" fillId="2" borderId="37" xfId="0" applyNumberFormat="1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center" vertical="center"/>
    </xf>
    <xf numFmtId="188" fontId="14" fillId="2" borderId="46" xfId="0" applyNumberFormat="1" applyFont="1" applyFill="1" applyBorder="1" applyAlignment="1">
      <alignment horizontal="center" vertical="center"/>
    </xf>
    <xf numFmtId="188" fontId="14" fillId="2" borderId="47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right" vertical="center"/>
    </xf>
    <xf numFmtId="14" fontId="11" fillId="0" borderId="0" xfId="0" applyNumberFormat="1" applyFont="1" applyBorder="1" applyAlignment="1">
      <alignment horizontal="left" vertical="center"/>
    </xf>
    <xf numFmtId="4" fontId="10" fillId="0" borderId="48" xfId="0" applyNumberFormat="1" applyFont="1" applyBorder="1" applyAlignment="1">
      <alignment/>
    </xf>
    <xf numFmtId="0" fontId="16" fillId="0" borderId="17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9" fillId="2" borderId="4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17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4" fillId="2" borderId="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7" fillId="0" borderId="12" xfId="0" applyFont="1" applyBorder="1" applyAlignment="1">
      <alignment vertical="top" wrapText="1"/>
    </xf>
    <xf numFmtId="0" fontId="16" fillId="0" borderId="17" xfId="0" applyFont="1" applyFill="1" applyBorder="1" applyAlignment="1">
      <alignment horizontal="left" vertical="top" wrapText="1"/>
    </xf>
    <xf numFmtId="1" fontId="14" fillId="2" borderId="39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88" fontId="14" fillId="2" borderId="45" xfId="0" applyNumberFormat="1" applyFont="1" applyFill="1" applyBorder="1" applyAlignment="1">
      <alignment horizontal="center" vertical="center"/>
    </xf>
    <xf numFmtId="188" fontId="14" fillId="2" borderId="36" xfId="0" applyNumberFormat="1" applyFont="1" applyFill="1" applyBorder="1" applyAlignment="1">
      <alignment horizontal="center" vertical="center"/>
    </xf>
    <xf numFmtId="189" fontId="14" fillId="2" borderId="51" xfId="0" applyNumberFormat="1" applyFont="1" applyFill="1" applyBorder="1" applyAlignment="1">
      <alignment horizontal="center" vertical="center"/>
    </xf>
    <xf numFmtId="189" fontId="14" fillId="2" borderId="0" xfId="0" applyNumberFormat="1" applyFont="1" applyFill="1" applyBorder="1" applyAlignment="1">
      <alignment horizontal="center" vertical="center"/>
    </xf>
    <xf numFmtId="189" fontId="14" fillId="2" borderId="36" xfId="0" applyNumberFormat="1" applyFont="1" applyFill="1" applyBorder="1" applyAlignment="1">
      <alignment horizontal="center" vertical="center"/>
    </xf>
    <xf numFmtId="188" fontId="15" fillId="2" borderId="32" xfId="0" applyNumberFormat="1" applyFont="1" applyFill="1" applyBorder="1" applyAlignment="1">
      <alignment horizontal="center" vertical="center"/>
    </xf>
    <xf numFmtId="188" fontId="15" fillId="2" borderId="52" xfId="0" applyNumberFormat="1" applyFont="1" applyFill="1" applyBorder="1" applyAlignment="1">
      <alignment horizontal="center" vertical="center"/>
    </xf>
    <xf numFmtId="189" fontId="14" fillId="2" borderId="53" xfId="0" applyNumberFormat="1" applyFont="1" applyFill="1" applyBorder="1" applyAlignment="1">
      <alignment horizontal="center" vertical="center"/>
    </xf>
    <xf numFmtId="189" fontId="14" fillId="2" borderId="44" xfId="0" applyNumberFormat="1" applyFont="1" applyFill="1" applyBorder="1" applyAlignment="1">
      <alignment horizontal="center" vertical="center"/>
    </xf>
    <xf numFmtId="0" fontId="12" fillId="0" borderId="0" xfId="18" applyFont="1" applyBorder="1" applyAlignment="1">
      <alignment horizontal="center" vertical="center"/>
      <protection/>
    </xf>
    <xf numFmtId="14" fontId="11" fillId="0" borderId="0" xfId="0" applyNumberFormat="1" applyFont="1" applyBorder="1" applyAlignment="1">
      <alignment horizontal="left"/>
    </xf>
    <xf numFmtId="0" fontId="6" fillId="0" borderId="0" xfId="15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0" xfId="15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Прайс_М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1" name="WordArt 10"/>
        <xdr:cNvSpPr>
          <a:spLocks/>
        </xdr:cNvSpPr>
      </xdr:nvSpPr>
      <xdr:spPr>
        <a:xfrm>
          <a:off x="1371600" y="0"/>
          <a:ext cx="1504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 ООО"МД Групп"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5</xdr:row>
      <xdr:rowOff>123825</xdr:rowOff>
    </xdr:to>
    <xdr:pic>
      <xdr:nvPicPr>
        <xdr:cNvPr id="2" name="Picture 9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</xdr:row>
      <xdr:rowOff>38100</xdr:rowOff>
    </xdr:from>
    <xdr:to>
      <xdr:col>3</xdr:col>
      <xdr:colOff>266700</xdr:colOff>
      <xdr:row>4</xdr:row>
      <xdr:rowOff>114300</xdr:rowOff>
    </xdr:to>
    <xdr:sp>
      <xdr:nvSpPr>
        <xdr:cNvPr id="3" name="WordArt 10"/>
        <xdr:cNvSpPr>
          <a:spLocks/>
        </xdr:cNvSpPr>
      </xdr:nvSpPr>
      <xdr:spPr>
        <a:xfrm>
          <a:off x="1371600" y="219075"/>
          <a:ext cx="150495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 ООО"МД Групп"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5</xdr:row>
      <xdr:rowOff>76200</xdr:rowOff>
    </xdr:to>
    <xdr:pic>
      <xdr:nvPicPr>
        <xdr:cNvPr id="1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9525</xdr:rowOff>
    </xdr:from>
    <xdr:to>
      <xdr:col>3</xdr:col>
      <xdr:colOff>266700</xdr:colOff>
      <xdr:row>4</xdr:row>
      <xdr:rowOff>47625</xdr:rowOff>
    </xdr:to>
    <xdr:sp>
      <xdr:nvSpPr>
        <xdr:cNvPr id="2" name="WordArt 3"/>
        <xdr:cNvSpPr>
          <a:spLocks/>
        </xdr:cNvSpPr>
      </xdr:nvSpPr>
      <xdr:spPr>
        <a:xfrm>
          <a:off x="1419225" y="190500"/>
          <a:ext cx="17240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 ООО"МД Групп"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2</xdr:col>
      <xdr:colOff>923925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171575" y="0"/>
          <a:ext cx="1438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 ООО"МД Групп  Одесса"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5</xdr:row>
      <xdr:rowOff>76200</xdr:rowOff>
    </xdr:to>
    <xdr:pic>
      <xdr:nvPicPr>
        <xdr:cNvPr id="2" name="Picture 5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</xdr:row>
      <xdr:rowOff>47625</xdr:rowOff>
    </xdr:from>
    <xdr:to>
      <xdr:col>3</xdr:col>
      <xdr:colOff>323850</xdr:colOff>
      <xdr:row>4</xdr:row>
      <xdr:rowOff>95250</xdr:rowOff>
    </xdr:to>
    <xdr:sp>
      <xdr:nvSpPr>
        <xdr:cNvPr id="3" name="WordArt 6"/>
        <xdr:cNvSpPr>
          <a:spLocks/>
        </xdr:cNvSpPr>
      </xdr:nvSpPr>
      <xdr:spPr>
        <a:xfrm>
          <a:off x="1409700" y="228600"/>
          <a:ext cx="17145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 ООО"МД Групп"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57150</xdr:rowOff>
    </xdr:from>
    <xdr:to>
      <xdr:col>6</xdr:col>
      <xdr:colOff>495300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666875" y="381000"/>
          <a:ext cx="31146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 ООО "МД  Групп"</a:t>
          </a:r>
        </a:p>
      </xdr:txBody>
    </xdr:sp>
    <xdr:clientData/>
  </xdr:twoCellAnchor>
  <xdr:twoCellAnchor editAs="oneCell">
    <xdr:from>
      <xdr:col>0</xdr:col>
      <xdr:colOff>228600</xdr:colOff>
      <xdr:row>13</xdr:row>
      <xdr:rowOff>152400</xdr:rowOff>
    </xdr:from>
    <xdr:to>
      <xdr:col>6</xdr:col>
      <xdr:colOff>847725</xdr:colOff>
      <xdr:row>37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47975"/>
          <a:ext cx="490537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638175</xdr:colOff>
      <xdr:row>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1333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workbookViewId="0" topLeftCell="A1">
      <selection activeCell="A1" sqref="A1"/>
    </sheetView>
  </sheetViews>
  <sheetFormatPr defaultColWidth="9.140625" defaultRowHeight="12.75" outlineLevelRow="1" outlineLevelCol="1"/>
  <cols>
    <col min="1" max="1" width="17.7109375" style="0" customWidth="1"/>
    <col min="2" max="2" width="6.7109375" style="0" customWidth="1"/>
    <col min="3" max="4" width="14.7109375" style="0" customWidth="1"/>
    <col min="5" max="7" width="13.7109375" style="11" customWidth="1"/>
    <col min="8" max="10" width="14.7109375" style="11" customWidth="1"/>
    <col min="11" max="11" width="1.7109375" style="12" customWidth="1"/>
    <col min="12" max="12" width="15.7109375" style="27" customWidth="1"/>
    <col min="13" max="13" width="1.7109375" style="12" customWidth="1"/>
    <col min="14" max="14" width="9.8515625" style="27" bestFit="1" customWidth="1"/>
    <col min="15" max="15" width="18.7109375" style="28" customWidth="1"/>
    <col min="16" max="16" width="1.7109375" style="0" customWidth="1"/>
    <col min="17" max="17" width="10.421875" style="0" hidden="1" customWidth="1" outlineLevel="1"/>
    <col min="18" max="18" width="18.7109375" style="143" customWidth="1" collapsed="1"/>
  </cols>
  <sheetData>
    <row r="1" spans="1:18" ht="14.25" customHeight="1">
      <c r="A1" s="7"/>
      <c r="B1" s="7"/>
      <c r="C1" s="8"/>
      <c r="D1" s="8"/>
      <c r="E1" s="9"/>
      <c r="F1" s="9"/>
      <c r="G1" s="9"/>
      <c r="H1" s="9"/>
      <c r="I1" s="9"/>
      <c r="J1" s="10"/>
      <c r="O1" s="9" t="s">
        <v>11</v>
      </c>
      <c r="P1" s="10"/>
      <c r="Q1" s="10"/>
      <c r="R1" s="10"/>
    </row>
    <row r="2" spans="1:18" ht="14.25" customHeight="1">
      <c r="A2" s="7"/>
      <c r="B2" s="7"/>
      <c r="C2" s="8"/>
      <c r="D2" s="8"/>
      <c r="E2" s="9"/>
      <c r="F2" s="9"/>
      <c r="G2" s="9"/>
      <c r="H2" s="9"/>
      <c r="I2" s="9"/>
      <c r="J2" s="10"/>
      <c r="O2" s="9" t="s">
        <v>12</v>
      </c>
      <c r="P2" s="10"/>
      <c r="Q2" s="10"/>
      <c r="R2" s="10"/>
    </row>
    <row r="3" spans="1:18" ht="14.25" customHeight="1">
      <c r="A3" s="7"/>
      <c r="B3" s="7"/>
      <c r="C3" s="8"/>
      <c r="D3" s="8"/>
      <c r="E3" s="10"/>
      <c r="F3" s="10"/>
      <c r="G3" s="10"/>
      <c r="H3" s="10"/>
      <c r="I3" s="10"/>
      <c r="J3" s="10"/>
      <c r="O3" s="10" t="s">
        <v>13</v>
      </c>
      <c r="P3" s="13"/>
      <c r="Q3" s="10"/>
      <c r="R3" s="142"/>
    </row>
    <row r="4" spans="1:18" ht="14.25" customHeight="1">
      <c r="A4" s="7"/>
      <c r="B4" s="7"/>
      <c r="C4" s="8"/>
      <c r="D4" s="8"/>
      <c r="E4" s="13"/>
      <c r="F4" s="13"/>
      <c r="G4" s="13"/>
      <c r="H4" s="14"/>
      <c r="I4" s="14"/>
      <c r="J4" s="13"/>
      <c r="O4" s="14" t="s">
        <v>14</v>
      </c>
      <c r="P4" s="13"/>
      <c r="Q4" s="13"/>
      <c r="R4" s="142"/>
    </row>
    <row r="5" spans="1:18" ht="14.25" customHeight="1">
      <c r="A5" s="7"/>
      <c r="B5" s="7"/>
      <c r="C5" s="8"/>
      <c r="D5" s="8"/>
      <c r="E5" s="15"/>
      <c r="F5" s="15"/>
      <c r="G5" s="15"/>
      <c r="H5" s="13"/>
      <c r="I5" s="13"/>
      <c r="J5" s="13"/>
      <c r="O5" s="13"/>
      <c r="P5" s="13"/>
      <c r="Q5" s="13"/>
      <c r="R5" s="142"/>
    </row>
    <row r="6" spans="1:18" ht="14.25" customHeight="1">
      <c r="A6" s="7"/>
      <c r="B6" s="7"/>
      <c r="C6" s="8"/>
      <c r="D6" s="8"/>
      <c r="E6" s="15"/>
      <c r="F6" s="15"/>
      <c r="G6" s="15"/>
      <c r="H6" s="9"/>
      <c r="I6" s="10"/>
      <c r="J6" s="10"/>
      <c r="O6" s="320"/>
      <c r="P6" s="320"/>
      <c r="Q6" s="148" t="s">
        <v>15</v>
      </c>
      <c r="R6" s="148"/>
    </row>
    <row r="7" spans="1:10" ht="14.25" customHeight="1">
      <c r="A7" s="7"/>
      <c r="B7" s="7"/>
      <c r="C7" s="8"/>
      <c r="D7" s="8"/>
      <c r="E7" s="15"/>
      <c r="F7" s="15"/>
      <c r="G7" s="15"/>
      <c r="H7" s="15"/>
      <c r="I7" s="15"/>
      <c r="J7" s="15"/>
    </row>
    <row r="8" spans="1:10" ht="19.5" customHeight="1">
      <c r="A8" s="16" t="s">
        <v>16</v>
      </c>
      <c r="B8" s="17"/>
      <c r="C8" s="18"/>
      <c r="D8" s="18"/>
      <c r="E8" s="19"/>
      <c r="F8" s="19"/>
      <c r="G8" s="19"/>
      <c r="H8" s="19"/>
      <c r="I8" s="19"/>
      <c r="J8" s="19"/>
    </row>
    <row r="9" spans="1:10" ht="13.5" customHeight="1">
      <c r="A9" s="16"/>
      <c r="B9" s="17"/>
      <c r="C9" s="18"/>
      <c r="D9" s="18"/>
      <c r="E9" s="19"/>
      <c r="F9" s="19"/>
      <c r="G9" s="19"/>
      <c r="H9" s="19"/>
      <c r="I9" s="19"/>
      <c r="J9" s="19"/>
    </row>
    <row r="10" spans="1:10" ht="14.25" customHeight="1">
      <c r="A10" s="20" t="s">
        <v>17</v>
      </c>
      <c r="B10" s="20"/>
      <c r="C10" s="20"/>
      <c r="D10" s="20"/>
      <c r="E10" s="19"/>
      <c r="F10" s="19"/>
      <c r="G10" s="19"/>
      <c r="H10" s="19"/>
      <c r="I10" s="19"/>
      <c r="J10" s="19"/>
    </row>
    <row r="11" spans="1:18" ht="14.25" customHeight="1">
      <c r="A11" s="20" t="s">
        <v>18</v>
      </c>
      <c r="B11" s="20"/>
      <c r="C11" s="20"/>
      <c r="D11" s="20"/>
      <c r="E11" s="19"/>
      <c r="F11" s="19"/>
      <c r="G11" s="19"/>
      <c r="H11" s="19"/>
      <c r="I11" s="19"/>
      <c r="J11" s="19"/>
      <c r="O11" s="318"/>
      <c r="P11" s="318"/>
      <c r="Q11" s="319"/>
      <c r="R11" s="319"/>
    </row>
    <row r="12" spans="1:18" ht="14.25" customHeight="1">
      <c r="A12" s="21"/>
      <c r="B12" s="17"/>
      <c r="C12" s="18"/>
      <c r="D12" s="18"/>
      <c r="E12" s="22"/>
      <c r="F12" s="22"/>
      <c r="G12" s="22"/>
      <c r="H12" s="24"/>
      <c r="I12" s="23"/>
      <c r="J12" s="23"/>
      <c r="O12" s="318" t="s">
        <v>19</v>
      </c>
      <c r="P12" s="318"/>
      <c r="Q12" s="319">
        <v>41368</v>
      </c>
      <c r="R12" s="319"/>
    </row>
    <row r="13" spans="1:10" ht="13.5" customHeight="1" thickBot="1">
      <c r="A13" s="25"/>
      <c r="B13" s="25"/>
      <c r="C13" s="25"/>
      <c r="D13" s="25"/>
      <c r="E13" s="26"/>
      <c r="F13" s="26"/>
      <c r="G13" s="26"/>
      <c r="H13" s="26"/>
      <c r="I13" s="26"/>
      <c r="J13" s="26"/>
    </row>
    <row r="14" spans="1:18" ht="18" customHeight="1">
      <c r="A14" s="306" t="s">
        <v>20</v>
      </c>
      <c r="B14" s="306"/>
      <c r="C14" s="306"/>
      <c r="D14" s="306"/>
      <c r="E14" s="306"/>
      <c r="F14" s="306"/>
      <c r="G14" s="306"/>
      <c r="H14" s="306"/>
      <c r="I14" s="306"/>
      <c r="J14" s="306"/>
      <c r="L14" s="307" t="s">
        <v>71</v>
      </c>
      <c r="M14" s="308"/>
      <c r="N14" s="308"/>
      <c r="O14" s="308"/>
      <c r="P14" s="308"/>
      <c r="Q14" s="308"/>
      <c r="R14" s="309"/>
    </row>
    <row r="15" spans="1:18" ht="13.5" customHeight="1" thickBot="1">
      <c r="A15" s="29"/>
      <c r="B15" s="30"/>
      <c r="C15" s="31"/>
      <c r="D15" s="31"/>
      <c r="E15" s="32"/>
      <c r="F15" s="32"/>
      <c r="G15" s="32"/>
      <c r="H15" s="32"/>
      <c r="I15" s="32"/>
      <c r="J15" s="32"/>
      <c r="L15" s="33"/>
      <c r="N15" s="34"/>
      <c r="O15" s="144"/>
      <c r="P15" s="12"/>
      <c r="Q15" s="12"/>
      <c r="R15" s="145"/>
    </row>
    <row r="16" spans="1:18" ht="22.5" customHeight="1">
      <c r="A16" s="340" t="s">
        <v>21</v>
      </c>
      <c r="B16" s="341"/>
      <c r="C16" s="341"/>
      <c r="D16" s="341"/>
      <c r="E16" s="304"/>
      <c r="F16" s="304"/>
      <c r="G16" s="304"/>
      <c r="H16" s="304"/>
      <c r="I16" s="304"/>
      <c r="J16" s="304"/>
      <c r="K16" s="35"/>
      <c r="L16" s="36" t="s">
        <v>22</v>
      </c>
      <c r="M16" s="37"/>
      <c r="N16" s="38" t="s">
        <v>23</v>
      </c>
      <c r="O16" s="39" t="s">
        <v>24</v>
      </c>
      <c r="P16" s="43"/>
      <c r="Q16" s="146" t="s">
        <v>68</v>
      </c>
      <c r="R16" s="147" t="s">
        <v>24</v>
      </c>
    </row>
    <row r="17" spans="1:18" ht="22.5" customHeight="1">
      <c r="A17" s="342" t="s">
        <v>25</v>
      </c>
      <c r="B17" s="344" t="s">
        <v>26</v>
      </c>
      <c r="C17" s="344" t="s">
        <v>27</v>
      </c>
      <c r="D17" s="344" t="s">
        <v>28</v>
      </c>
      <c r="E17" s="140" t="s">
        <v>29</v>
      </c>
      <c r="F17" s="140" t="s">
        <v>30</v>
      </c>
      <c r="G17" s="140" t="s">
        <v>31</v>
      </c>
      <c r="H17" s="141" t="s">
        <v>32</v>
      </c>
      <c r="I17" s="141" t="s">
        <v>33</v>
      </c>
      <c r="J17" s="141" t="s">
        <v>34</v>
      </c>
      <c r="K17" s="35"/>
      <c r="L17" s="296" t="s">
        <v>35</v>
      </c>
      <c r="M17" s="40"/>
      <c r="N17" s="315" t="s">
        <v>36</v>
      </c>
      <c r="O17" s="300" t="s">
        <v>35</v>
      </c>
      <c r="P17" s="43"/>
      <c r="Q17" s="302" t="s">
        <v>69</v>
      </c>
      <c r="R17" s="294" t="s">
        <v>70</v>
      </c>
    </row>
    <row r="18" spans="1:18" ht="22.5" customHeight="1" outlineLevel="1" thickBot="1">
      <c r="A18" s="343"/>
      <c r="B18" s="345"/>
      <c r="C18" s="345"/>
      <c r="D18" s="345"/>
      <c r="E18" s="41" t="s">
        <v>37</v>
      </c>
      <c r="F18" s="41" t="s">
        <v>37</v>
      </c>
      <c r="G18" s="41" t="s">
        <v>37</v>
      </c>
      <c r="H18" s="41" t="s">
        <v>37</v>
      </c>
      <c r="I18" s="41" t="s">
        <v>37</v>
      </c>
      <c r="J18" s="42" t="s">
        <v>37</v>
      </c>
      <c r="K18" s="35"/>
      <c r="L18" s="297"/>
      <c r="M18" s="43"/>
      <c r="N18" s="316"/>
      <c r="O18" s="301"/>
      <c r="P18" s="43"/>
      <c r="Q18" s="317"/>
      <c r="R18" s="314"/>
    </row>
    <row r="19" spans="1:18" ht="16.5" customHeight="1">
      <c r="A19" s="346" t="s">
        <v>38</v>
      </c>
      <c r="B19" s="44">
        <v>1</v>
      </c>
      <c r="C19" s="45">
        <v>1.9</v>
      </c>
      <c r="D19" s="46" t="s">
        <v>39</v>
      </c>
      <c r="E19" s="104">
        <v>6486</v>
      </c>
      <c r="F19" s="104">
        <v>6588</v>
      </c>
      <c r="G19" s="104">
        <v>6720</v>
      </c>
      <c r="H19" s="47">
        <v>6858</v>
      </c>
      <c r="I19" s="47">
        <v>7056</v>
      </c>
      <c r="J19" s="47">
        <v>7392</v>
      </c>
      <c r="K19" s="49"/>
      <c r="L19" s="50">
        <v>31.4</v>
      </c>
      <c r="M19" s="51"/>
      <c r="N19" s="52">
        <f>1000/L19</f>
        <v>31.847133757961785</v>
      </c>
      <c r="O19" s="53">
        <f aca="true" t="shared" si="0" ref="O19:O26">J19*L19/1000</f>
        <v>232.1088</v>
      </c>
      <c r="P19" s="51"/>
      <c r="Q19" s="52"/>
      <c r="R19" s="150"/>
    </row>
    <row r="20" spans="1:18" ht="16.5" customHeight="1">
      <c r="A20" s="347"/>
      <c r="B20" s="54">
        <v>1</v>
      </c>
      <c r="C20" s="55">
        <v>1.9</v>
      </c>
      <c r="D20" s="56" t="s">
        <v>40</v>
      </c>
      <c r="E20" s="57">
        <v>6486</v>
      </c>
      <c r="F20" s="57">
        <v>6588</v>
      </c>
      <c r="G20" s="57">
        <v>6720</v>
      </c>
      <c r="H20" s="57">
        <v>6858</v>
      </c>
      <c r="I20" s="57">
        <v>7056</v>
      </c>
      <c r="J20" s="57">
        <v>7392</v>
      </c>
      <c r="K20" s="49"/>
      <c r="L20" s="60">
        <v>48.9</v>
      </c>
      <c r="M20" s="51"/>
      <c r="N20" s="61">
        <f aca="true" t="shared" si="1" ref="N20:N32">1000/L20</f>
        <v>20.449897750511248</v>
      </c>
      <c r="O20" s="62">
        <f t="shared" si="0"/>
        <v>361.4688</v>
      </c>
      <c r="P20" s="51"/>
      <c r="Q20" s="61"/>
      <c r="R20" s="151"/>
    </row>
    <row r="21" spans="1:18" ht="16.5" customHeight="1">
      <c r="A21" s="347"/>
      <c r="B21" s="54">
        <v>1</v>
      </c>
      <c r="C21" s="55">
        <v>2</v>
      </c>
      <c r="D21" s="56" t="s">
        <v>41</v>
      </c>
      <c r="E21" s="57">
        <v>6486</v>
      </c>
      <c r="F21" s="57">
        <v>6588</v>
      </c>
      <c r="G21" s="57">
        <v>6720</v>
      </c>
      <c r="H21" s="57">
        <v>6858</v>
      </c>
      <c r="I21" s="57">
        <v>7056</v>
      </c>
      <c r="J21" s="57">
        <v>7392</v>
      </c>
      <c r="K21" s="49"/>
      <c r="L21" s="60">
        <v>33</v>
      </c>
      <c r="M21" s="51"/>
      <c r="N21" s="61">
        <f t="shared" si="1"/>
        <v>30.303030303030305</v>
      </c>
      <c r="O21" s="62">
        <f t="shared" si="0"/>
        <v>243.936</v>
      </c>
      <c r="P21" s="51"/>
      <c r="Q21" s="61"/>
      <c r="R21" s="151"/>
    </row>
    <row r="22" spans="1:18" ht="16.5" customHeight="1">
      <c r="A22" s="347"/>
      <c r="B22" s="54">
        <v>1</v>
      </c>
      <c r="C22" s="55">
        <v>2</v>
      </c>
      <c r="D22" s="56" t="s">
        <v>42</v>
      </c>
      <c r="E22" s="57">
        <v>6486</v>
      </c>
      <c r="F22" s="57">
        <v>6588</v>
      </c>
      <c r="G22" s="57">
        <v>6720</v>
      </c>
      <c r="H22" s="57">
        <v>6858</v>
      </c>
      <c r="I22" s="57">
        <v>7056</v>
      </c>
      <c r="J22" s="57">
        <v>7392</v>
      </c>
      <c r="K22" s="49"/>
      <c r="L22" s="60">
        <v>51.5</v>
      </c>
      <c r="M22" s="51"/>
      <c r="N22" s="61">
        <f t="shared" si="1"/>
        <v>19.41747572815534</v>
      </c>
      <c r="O22" s="62">
        <f t="shared" si="0"/>
        <v>380.688</v>
      </c>
      <c r="P22" s="51"/>
      <c r="Q22" s="61"/>
      <c r="R22" s="151"/>
    </row>
    <row r="23" spans="1:18" ht="16.5" customHeight="1">
      <c r="A23" s="347"/>
      <c r="B23" s="63">
        <v>1</v>
      </c>
      <c r="C23" s="55">
        <v>2.5</v>
      </c>
      <c r="D23" s="56" t="s">
        <v>42</v>
      </c>
      <c r="E23" s="57">
        <v>6402</v>
      </c>
      <c r="F23" s="57">
        <v>6498</v>
      </c>
      <c r="G23" s="57">
        <v>6630</v>
      </c>
      <c r="H23" s="58">
        <v>6768</v>
      </c>
      <c r="I23" s="58">
        <v>7296</v>
      </c>
      <c r="J23" s="58">
        <v>7296</v>
      </c>
      <c r="K23" s="49"/>
      <c r="L23" s="60">
        <v>62.5</v>
      </c>
      <c r="M23" s="51"/>
      <c r="N23" s="61">
        <f t="shared" si="1"/>
        <v>16</v>
      </c>
      <c r="O23" s="62">
        <f t="shared" si="0"/>
        <v>456</v>
      </c>
      <c r="P23" s="51"/>
      <c r="Q23" s="61"/>
      <c r="R23" s="151"/>
    </row>
    <row r="24" spans="1:18" ht="16.5" customHeight="1">
      <c r="A24" s="347"/>
      <c r="B24" s="63">
        <v>1</v>
      </c>
      <c r="C24" s="55">
        <v>2.8</v>
      </c>
      <c r="D24" s="56" t="s">
        <v>43</v>
      </c>
      <c r="E24" s="57">
        <v>5825.82</v>
      </c>
      <c r="F24" s="57">
        <v>5913.18</v>
      </c>
      <c r="G24" s="57">
        <v>6033.3</v>
      </c>
      <c r="H24" s="57">
        <v>6158.88</v>
      </c>
      <c r="I24" s="57">
        <v>6339.06</v>
      </c>
      <c r="J24" s="57">
        <v>6639.36</v>
      </c>
      <c r="K24" s="49"/>
      <c r="L24" s="60">
        <v>54.33</v>
      </c>
      <c r="M24" s="51"/>
      <c r="N24" s="61">
        <f t="shared" si="1"/>
        <v>18.406037180195103</v>
      </c>
      <c r="O24" s="62">
        <f t="shared" si="0"/>
        <v>360.7164288</v>
      </c>
      <c r="P24" s="51"/>
      <c r="Q24" s="61"/>
      <c r="R24" s="151"/>
    </row>
    <row r="25" spans="1:18" ht="16.5" customHeight="1">
      <c r="A25" s="347"/>
      <c r="B25" s="54">
        <v>1</v>
      </c>
      <c r="C25" s="55">
        <v>3</v>
      </c>
      <c r="D25" s="56" t="s">
        <v>41</v>
      </c>
      <c r="E25" s="57">
        <v>6402</v>
      </c>
      <c r="F25" s="57">
        <v>6498</v>
      </c>
      <c r="G25" s="57">
        <v>6630</v>
      </c>
      <c r="H25" s="58">
        <v>6768</v>
      </c>
      <c r="I25" s="58">
        <v>6966</v>
      </c>
      <c r="J25" s="58">
        <v>7296</v>
      </c>
      <c r="K25" s="49"/>
      <c r="L25" s="60">
        <v>50</v>
      </c>
      <c r="M25" s="51"/>
      <c r="N25" s="61">
        <f t="shared" si="1"/>
        <v>20</v>
      </c>
      <c r="O25" s="62">
        <f t="shared" si="0"/>
        <v>364.8</v>
      </c>
      <c r="P25" s="51"/>
      <c r="Q25" s="61"/>
      <c r="R25" s="151"/>
    </row>
    <row r="26" spans="1:18" ht="16.5" customHeight="1">
      <c r="A26" s="347"/>
      <c r="B26" s="54">
        <v>1</v>
      </c>
      <c r="C26" s="55">
        <v>3</v>
      </c>
      <c r="D26" s="56" t="s">
        <v>42</v>
      </c>
      <c r="E26" s="57">
        <v>6402</v>
      </c>
      <c r="F26" s="57">
        <v>6498</v>
      </c>
      <c r="G26" s="57">
        <v>6630</v>
      </c>
      <c r="H26" s="57">
        <v>6768</v>
      </c>
      <c r="I26" s="57">
        <v>6966</v>
      </c>
      <c r="J26" s="57">
        <v>7296</v>
      </c>
      <c r="K26" s="49"/>
      <c r="L26" s="60">
        <v>75</v>
      </c>
      <c r="M26" s="51"/>
      <c r="N26" s="61">
        <f t="shared" si="1"/>
        <v>13.333333333333334</v>
      </c>
      <c r="O26" s="62">
        <f t="shared" si="0"/>
        <v>547.2</v>
      </c>
      <c r="P26" s="51"/>
      <c r="Q26" s="61"/>
      <c r="R26" s="151"/>
    </row>
    <row r="27" spans="1:18" ht="16.5" customHeight="1">
      <c r="A27" s="347"/>
      <c r="B27" s="63">
        <v>1</v>
      </c>
      <c r="C27" s="55">
        <v>3</v>
      </c>
      <c r="D27" s="56" t="s">
        <v>44</v>
      </c>
      <c r="E27" s="57">
        <v>6402</v>
      </c>
      <c r="F27" s="57">
        <v>6498</v>
      </c>
      <c r="G27" s="57">
        <v>6630</v>
      </c>
      <c r="H27" s="57">
        <v>6768</v>
      </c>
      <c r="I27" s="57">
        <v>6966</v>
      </c>
      <c r="J27" s="57">
        <v>7296</v>
      </c>
      <c r="K27" s="49"/>
      <c r="L27" s="60">
        <v>216</v>
      </c>
      <c r="M27" s="51"/>
      <c r="N27" s="61">
        <f t="shared" si="1"/>
        <v>4.62962962962963</v>
      </c>
      <c r="O27" s="62">
        <f>I27*L27/1000</f>
        <v>1504.656</v>
      </c>
      <c r="P27" s="51"/>
      <c r="Q27" s="61">
        <f>C27*1500</f>
        <v>4500</v>
      </c>
      <c r="R27" s="151">
        <f>Q27*0.003</f>
        <v>13.5</v>
      </c>
    </row>
    <row r="28" spans="1:18" ht="16.5" customHeight="1">
      <c r="A28" s="347"/>
      <c r="B28" s="54">
        <v>1</v>
      </c>
      <c r="C28" s="64">
        <v>4</v>
      </c>
      <c r="D28" s="56" t="s">
        <v>42</v>
      </c>
      <c r="E28" s="57">
        <v>6402</v>
      </c>
      <c r="F28" s="57">
        <v>6498</v>
      </c>
      <c r="G28" s="57">
        <v>6630</v>
      </c>
      <c r="H28" s="57">
        <v>6768</v>
      </c>
      <c r="I28" s="57">
        <v>6966</v>
      </c>
      <c r="J28" s="57">
        <v>7296</v>
      </c>
      <c r="K28" s="49"/>
      <c r="L28" s="60">
        <v>101</v>
      </c>
      <c r="M28" s="51"/>
      <c r="N28" s="61">
        <f t="shared" si="1"/>
        <v>9.900990099009901</v>
      </c>
      <c r="O28" s="62">
        <f>J28*L28/1000</f>
        <v>736.896</v>
      </c>
      <c r="P28" s="51"/>
      <c r="Q28" s="61"/>
      <c r="R28" s="151"/>
    </row>
    <row r="29" spans="1:18" ht="16.5" customHeight="1">
      <c r="A29" s="347"/>
      <c r="B29" s="54">
        <v>1</v>
      </c>
      <c r="C29" s="64">
        <v>4</v>
      </c>
      <c r="D29" s="56" t="s">
        <v>44</v>
      </c>
      <c r="E29" s="57">
        <v>6402</v>
      </c>
      <c r="F29" s="57">
        <v>6498</v>
      </c>
      <c r="G29" s="57">
        <v>6630</v>
      </c>
      <c r="H29" s="57">
        <v>6768</v>
      </c>
      <c r="I29" s="57">
        <v>6966</v>
      </c>
      <c r="J29" s="57">
        <v>7296</v>
      </c>
      <c r="K29" s="49"/>
      <c r="L29" s="60">
        <v>290.88</v>
      </c>
      <c r="M29" s="51"/>
      <c r="N29" s="61">
        <f t="shared" si="1"/>
        <v>3.4378437843784377</v>
      </c>
      <c r="O29" s="62">
        <f>I29*L29/1000</f>
        <v>2026.27008</v>
      </c>
      <c r="P29" s="51"/>
      <c r="Q29" s="61">
        <f>C29*1500</f>
        <v>6000</v>
      </c>
      <c r="R29" s="151">
        <f>Q29*0.003</f>
        <v>18</v>
      </c>
    </row>
    <row r="30" spans="1:18" ht="16.5" customHeight="1">
      <c r="A30" s="347"/>
      <c r="B30" s="54">
        <v>1</v>
      </c>
      <c r="C30" s="64">
        <v>5</v>
      </c>
      <c r="D30" s="56" t="s">
        <v>42</v>
      </c>
      <c r="E30" s="57">
        <v>5970</v>
      </c>
      <c r="F30" s="57">
        <v>6066</v>
      </c>
      <c r="G30" s="57">
        <v>6186</v>
      </c>
      <c r="H30" s="57">
        <v>6312</v>
      </c>
      <c r="I30" s="57">
        <v>6498</v>
      </c>
      <c r="J30" s="57">
        <v>6810</v>
      </c>
      <c r="K30" s="49"/>
      <c r="L30" s="60">
        <v>125</v>
      </c>
      <c r="M30" s="51"/>
      <c r="N30" s="61">
        <f t="shared" si="1"/>
        <v>8</v>
      </c>
      <c r="O30" s="62">
        <f>I30*L30/1000</f>
        <v>812.25</v>
      </c>
      <c r="P30" s="51"/>
      <c r="Q30" s="61"/>
      <c r="R30" s="151"/>
    </row>
    <row r="31" spans="1:18" ht="16.5" customHeight="1">
      <c r="A31" s="347"/>
      <c r="B31" s="54">
        <v>1</v>
      </c>
      <c r="C31" s="64">
        <v>5</v>
      </c>
      <c r="D31" s="56" t="s">
        <v>44</v>
      </c>
      <c r="E31" s="57">
        <v>5970</v>
      </c>
      <c r="F31" s="57">
        <v>6066</v>
      </c>
      <c r="G31" s="57">
        <v>6186</v>
      </c>
      <c r="H31" s="58">
        <v>6312</v>
      </c>
      <c r="I31" s="58">
        <v>6498</v>
      </c>
      <c r="J31" s="58">
        <v>6810</v>
      </c>
      <c r="K31" s="49"/>
      <c r="L31" s="60">
        <v>360</v>
      </c>
      <c r="M31" s="51"/>
      <c r="N31" s="61">
        <f t="shared" si="1"/>
        <v>2.7777777777777777</v>
      </c>
      <c r="O31" s="62">
        <f>I31*L31/1000</f>
        <v>2339.28</v>
      </c>
      <c r="P31" s="51"/>
      <c r="Q31" s="61">
        <f>C31*1500</f>
        <v>7500</v>
      </c>
      <c r="R31" s="151">
        <f>Q31*0.003</f>
        <v>22.5</v>
      </c>
    </row>
    <row r="32" spans="1:18" ht="16.5" customHeight="1">
      <c r="A32" s="347"/>
      <c r="B32" s="54">
        <v>1</v>
      </c>
      <c r="C32" s="64">
        <v>6</v>
      </c>
      <c r="D32" s="56" t="s">
        <v>44</v>
      </c>
      <c r="E32" s="57">
        <v>5970</v>
      </c>
      <c r="F32" s="57">
        <v>6066</v>
      </c>
      <c r="G32" s="57">
        <v>6186</v>
      </c>
      <c r="H32" s="57">
        <v>6312</v>
      </c>
      <c r="I32" s="57">
        <v>6498</v>
      </c>
      <c r="J32" s="57">
        <v>6810</v>
      </c>
      <c r="K32" s="49"/>
      <c r="L32" s="60">
        <v>432</v>
      </c>
      <c r="M32" s="51"/>
      <c r="N32" s="61">
        <f t="shared" si="1"/>
        <v>2.314814814814815</v>
      </c>
      <c r="O32" s="62">
        <f>I32*L32/1000</f>
        <v>2807.136</v>
      </c>
      <c r="P32" s="51"/>
      <c r="Q32" s="61">
        <f>C32*1500</f>
        <v>9000</v>
      </c>
      <c r="R32" s="151">
        <f>Q32*0.003</f>
        <v>27</v>
      </c>
    </row>
    <row r="33" spans="1:18" ht="16.5" customHeight="1" thickBot="1">
      <c r="A33" s="348"/>
      <c r="B33" s="65">
        <v>1</v>
      </c>
      <c r="C33" s="66">
        <v>8</v>
      </c>
      <c r="D33" s="67" t="s">
        <v>44</v>
      </c>
      <c r="E33" s="68">
        <v>5970</v>
      </c>
      <c r="F33" s="68">
        <v>6066</v>
      </c>
      <c r="G33" s="68">
        <v>6186</v>
      </c>
      <c r="H33" s="68">
        <v>6312</v>
      </c>
      <c r="I33" s="68">
        <v>6498</v>
      </c>
      <c r="J33" s="68">
        <v>6810</v>
      </c>
      <c r="K33" s="49"/>
      <c r="L33" s="71">
        <v>581.8</v>
      </c>
      <c r="M33" s="51"/>
      <c r="N33" s="72">
        <f>1000/L33</f>
        <v>1.7188037126160194</v>
      </c>
      <c r="O33" s="73">
        <f>H33*L33/1000</f>
        <v>3672.3215999999998</v>
      </c>
      <c r="P33" s="51"/>
      <c r="Q33" s="72">
        <f>C33*1500</f>
        <v>12000</v>
      </c>
      <c r="R33" s="152">
        <f>Q33*0.003</f>
        <v>36</v>
      </c>
    </row>
    <row r="34" spans="1:18" ht="12" customHeight="1" thickBot="1">
      <c r="A34" s="74"/>
      <c r="B34" s="75"/>
      <c r="C34" s="76"/>
      <c r="D34" s="77"/>
      <c r="E34" s="78"/>
      <c r="F34" s="78"/>
      <c r="G34" s="78"/>
      <c r="H34" s="79"/>
      <c r="I34" s="79"/>
      <c r="J34" s="79"/>
      <c r="K34" s="49"/>
      <c r="L34" s="153"/>
      <c r="M34" s="51"/>
      <c r="N34" s="81"/>
      <c r="O34" s="82"/>
      <c r="P34" s="51"/>
      <c r="Q34" s="81"/>
      <c r="R34" s="154"/>
    </row>
    <row r="35" spans="1:18" ht="16.5" customHeight="1">
      <c r="A35" s="349" t="s">
        <v>45</v>
      </c>
      <c r="B35" s="83">
        <v>1</v>
      </c>
      <c r="C35" s="84">
        <v>0.5</v>
      </c>
      <c r="D35" s="46" t="s">
        <v>39</v>
      </c>
      <c r="E35" s="104">
        <v>7638</v>
      </c>
      <c r="F35" s="104">
        <v>7758</v>
      </c>
      <c r="G35" s="104">
        <v>7914</v>
      </c>
      <c r="H35" s="47">
        <v>8076</v>
      </c>
      <c r="I35" s="47">
        <v>8310</v>
      </c>
      <c r="J35" s="47">
        <v>8706</v>
      </c>
      <c r="K35" s="49"/>
      <c r="L35" s="50">
        <v>8</v>
      </c>
      <c r="M35" s="51"/>
      <c r="N35" s="52">
        <f aca="true" t="shared" si="2" ref="N35:N43">1000/L35</f>
        <v>125</v>
      </c>
      <c r="O35" s="53">
        <f aca="true" t="shared" si="3" ref="O35:O43">J35*L35/1000</f>
        <v>69.648</v>
      </c>
      <c r="P35" s="51"/>
      <c r="Q35" s="52"/>
      <c r="R35" s="150"/>
    </row>
    <row r="36" spans="1:18" ht="16.5" customHeight="1">
      <c r="A36" s="338"/>
      <c r="B36" s="54">
        <v>1</v>
      </c>
      <c r="C36" s="64">
        <v>0.7</v>
      </c>
      <c r="D36" s="56" t="s">
        <v>39</v>
      </c>
      <c r="E36" s="57">
        <v>7506</v>
      </c>
      <c r="F36" s="57">
        <v>7620</v>
      </c>
      <c r="G36" s="57">
        <v>7776</v>
      </c>
      <c r="H36" s="58">
        <v>7932</v>
      </c>
      <c r="I36" s="58">
        <v>8166</v>
      </c>
      <c r="J36" s="58">
        <v>8556</v>
      </c>
      <c r="K36" s="49"/>
      <c r="L36" s="60">
        <v>11.2</v>
      </c>
      <c r="M36" s="51"/>
      <c r="N36" s="61">
        <f t="shared" si="2"/>
        <v>89.28571428571429</v>
      </c>
      <c r="O36" s="62">
        <f t="shared" si="3"/>
        <v>95.82719999999999</v>
      </c>
      <c r="P36" s="51"/>
      <c r="Q36" s="61"/>
      <c r="R36" s="151"/>
    </row>
    <row r="37" spans="1:18" ht="16.5" customHeight="1">
      <c r="A37" s="338"/>
      <c r="B37" s="54">
        <v>1</v>
      </c>
      <c r="C37" s="64">
        <v>0.7</v>
      </c>
      <c r="D37" s="85" t="s">
        <v>42</v>
      </c>
      <c r="E37" s="57">
        <v>7506</v>
      </c>
      <c r="F37" s="57">
        <v>7620</v>
      </c>
      <c r="G37" s="57">
        <v>7776</v>
      </c>
      <c r="H37" s="57">
        <v>7932</v>
      </c>
      <c r="I37" s="57">
        <v>8166</v>
      </c>
      <c r="J37" s="57">
        <v>8556</v>
      </c>
      <c r="K37" s="49"/>
      <c r="L37" s="60">
        <v>17.5</v>
      </c>
      <c r="M37" s="51"/>
      <c r="N37" s="61">
        <f t="shared" si="2"/>
        <v>57.142857142857146</v>
      </c>
      <c r="O37" s="62">
        <f t="shared" si="3"/>
        <v>149.73</v>
      </c>
      <c r="P37" s="51"/>
      <c r="Q37" s="61"/>
      <c r="R37" s="151"/>
    </row>
    <row r="38" spans="1:18" ht="16.5" customHeight="1">
      <c r="A38" s="338"/>
      <c r="B38" s="54">
        <v>1</v>
      </c>
      <c r="C38" s="64">
        <v>0.8</v>
      </c>
      <c r="D38" s="56" t="s">
        <v>39</v>
      </c>
      <c r="E38" s="57">
        <v>7272</v>
      </c>
      <c r="F38" s="57">
        <v>7386</v>
      </c>
      <c r="G38" s="57">
        <v>7536</v>
      </c>
      <c r="H38" s="58">
        <v>7686</v>
      </c>
      <c r="I38" s="58">
        <v>7914</v>
      </c>
      <c r="J38" s="58">
        <v>8292</v>
      </c>
      <c r="K38" s="49"/>
      <c r="L38" s="60">
        <v>13.2</v>
      </c>
      <c r="M38" s="51"/>
      <c r="N38" s="61">
        <f t="shared" si="2"/>
        <v>75.75757575757576</v>
      </c>
      <c r="O38" s="62">
        <f t="shared" si="3"/>
        <v>109.45439999999999</v>
      </c>
      <c r="P38" s="51"/>
      <c r="Q38" s="61"/>
      <c r="R38" s="151"/>
    </row>
    <row r="39" spans="1:18" ht="16.5" customHeight="1">
      <c r="A39" s="338"/>
      <c r="B39" s="54">
        <v>1</v>
      </c>
      <c r="C39" s="64">
        <v>0.8</v>
      </c>
      <c r="D39" s="56" t="s">
        <v>42</v>
      </c>
      <c r="E39" s="57">
        <v>7272</v>
      </c>
      <c r="F39" s="57">
        <v>7386</v>
      </c>
      <c r="G39" s="57">
        <v>7536</v>
      </c>
      <c r="H39" s="57">
        <v>7686</v>
      </c>
      <c r="I39" s="57">
        <v>7914</v>
      </c>
      <c r="J39" s="57">
        <v>8292</v>
      </c>
      <c r="K39" s="49"/>
      <c r="L39" s="60">
        <v>20.625</v>
      </c>
      <c r="M39" s="51"/>
      <c r="N39" s="61">
        <f t="shared" si="2"/>
        <v>48.484848484848484</v>
      </c>
      <c r="O39" s="62">
        <f t="shared" si="3"/>
        <v>171.0225</v>
      </c>
      <c r="P39" s="51"/>
      <c r="Q39" s="61"/>
      <c r="R39" s="151"/>
    </row>
    <row r="40" spans="1:18" ht="16.5" customHeight="1">
      <c r="A40" s="338"/>
      <c r="B40" s="54">
        <v>1</v>
      </c>
      <c r="C40" s="64">
        <v>1</v>
      </c>
      <c r="D40" s="56" t="s">
        <v>41</v>
      </c>
      <c r="E40" s="57">
        <v>7272</v>
      </c>
      <c r="F40" s="57">
        <v>7386</v>
      </c>
      <c r="G40" s="57">
        <v>7536</v>
      </c>
      <c r="H40" s="57">
        <v>7686</v>
      </c>
      <c r="I40" s="57">
        <v>7914</v>
      </c>
      <c r="J40" s="57">
        <v>8292</v>
      </c>
      <c r="K40" s="49"/>
      <c r="L40" s="60">
        <v>16</v>
      </c>
      <c r="M40" s="51"/>
      <c r="N40" s="61">
        <f t="shared" si="2"/>
        <v>62.5</v>
      </c>
      <c r="O40" s="62">
        <f t="shared" si="3"/>
        <v>132.672</v>
      </c>
      <c r="P40" s="51"/>
      <c r="Q40" s="61"/>
      <c r="R40" s="151"/>
    </row>
    <row r="41" spans="1:18" ht="16.5" customHeight="1">
      <c r="A41" s="338"/>
      <c r="B41" s="63">
        <v>1</v>
      </c>
      <c r="C41" s="64">
        <v>1</v>
      </c>
      <c r="D41" s="56" t="s">
        <v>42</v>
      </c>
      <c r="E41" s="57">
        <v>7272</v>
      </c>
      <c r="F41" s="57">
        <v>7386</v>
      </c>
      <c r="G41" s="57">
        <v>7536</v>
      </c>
      <c r="H41" s="57">
        <v>7686</v>
      </c>
      <c r="I41" s="57">
        <v>7914</v>
      </c>
      <c r="J41" s="57">
        <v>8292</v>
      </c>
      <c r="K41" s="49"/>
      <c r="L41" s="60">
        <v>25</v>
      </c>
      <c r="M41" s="51"/>
      <c r="N41" s="61">
        <f t="shared" si="2"/>
        <v>40</v>
      </c>
      <c r="O41" s="62">
        <f t="shared" si="3"/>
        <v>207.3</v>
      </c>
      <c r="P41" s="51"/>
      <c r="Q41" s="61"/>
      <c r="R41" s="151"/>
    </row>
    <row r="42" spans="1:18" ht="16.5" customHeight="1">
      <c r="A42" s="338"/>
      <c r="B42" s="54">
        <v>1</v>
      </c>
      <c r="C42" s="64">
        <v>1.2</v>
      </c>
      <c r="D42" s="56" t="s">
        <v>41</v>
      </c>
      <c r="E42" s="57">
        <v>7146</v>
      </c>
      <c r="F42" s="57">
        <v>7260</v>
      </c>
      <c r="G42" s="57">
        <v>7404</v>
      </c>
      <c r="H42" s="58">
        <v>7554</v>
      </c>
      <c r="I42" s="58">
        <v>7776</v>
      </c>
      <c r="J42" s="58">
        <v>8148</v>
      </c>
      <c r="K42" s="49"/>
      <c r="L42" s="60">
        <v>19</v>
      </c>
      <c r="M42" s="51"/>
      <c r="N42" s="61">
        <f t="shared" si="2"/>
        <v>52.63157894736842</v>
      </c>
      <c r="O42" s="62">
        <f t="shared" si="3"/>
        <v>154.812</v>
      </c>
      <c r="P42" s="51"/>
      <c r="Q42" s="61"/>
      <c r="R42" s="151"/>
    </row>
    <row r="43" spans="1:18" ht="16.5" customHeight="1">
      <c r="A43" s="338"/>
      <c r="B43" s="63">
        <v>1</v>
      </c>
      <c r="C43" s="64">
        <v>1.2</v>
      </c>
      <c r="D43" s="56" t="s">
        <v>42</v>
      </c>
      <c r="E43" s="57">
        <v>7146</v>
      </c>
      <c r="F43" s="57">
        <v>7260</v>
      </c>
      <c r="G43" s="57">
        <v>7404</v>
      </c>
      <c r="H43" s="57">
        <v>7554</v>
      </c>
      <c r="I43" s="57">
        <v>7776</v>
      </c>
      <c r="J43" s="57">
        <v>8148</v>
      </c>
      <c r="K43" s="49"/>
      <c r="L43" s="60">
        <v>29.7</v>
      </c>
      <c r="M43" s="51"/>
      <c r="N43" s="61">
        <f t="shared" si="2"/>
        <v>33.67003367003367</v>
      </c>
      <c r="O43" s="62">
        <f t="shared" si="3"/>
        <v>241.9956</v>
      </c>
      <c r="P43" s="51"/>
      <c r="Q43" s="61"/>
      <c r="R43" s="151"/>
    </row>
    <row r="44" spans="1:18" ht="16.5" customHeight="1">
      <c r="A44" s="338"/>
      <c r="B44" s="63">
        <v>1</v>
      </c>
      <c r="C44" s="64">
        <v>1.4</v>
      </c>
      <c r="D44" s="56" t="s">
        <v>39</v>
      </c>
      <c r="E44" s="57">
        <v>7146</v>
      </c>
      <c r="F44" s="57">
        <v>7260</v>
      </c>
      <c r="G44" s="57">
        <v>7404</v>
      </c>
      <c r="H44" s="57">
        <v>7554</v>
      </c>
      <c r="I44" s="57">
        <v>7776</v>
      </c>
      <c r="J44" s="57">
        <v>8148</v>
      </c>
      <c r="K44" s="49"/>
      <c r="L44" s="60">
        <v>22.4</v>
      </c>
      <c r="M44" s="51"/>
      <c r="N44" s="61"/>
      <c r="O44" s="62"/>
      <c r="P44" s="51"/>
      <c r="Q44" s="61"/>
      <c r="R44" s="151"/>
    </row>
    <row r="45" spans="1:18" ht="16.5" customHeight="1">
      <c r="A45" s="338"/>
      <c r="B45" s="63">
        <v>1</v>
      </c>
      <c r="C45" s="64">
        <v>1.4</v>
      </c>
      <c r="D45" s="56" t="s">
        <v>40</v>
      </c>
      <c r="E45" s="57">
        <v>7146</v>
      </c>
      <c r="F45" s="57">
        <v>7260</v>
      </c>
      <c r="G45" s="57">
        <v>7404</v>
      </c>
      <c r="H45" s="57">
        <v>7554</v>
      </c>
      <c r="I45" s="57">
        <v>7776</v>
      </c>
      <c r="J45" s="57">
        <v>8148</v>
      </c>
      <c r="K45" s="49"/>
      <c r="L45" s="60">
        <v>35</v>
      </c>
      <c r="M45" s="51"/>
      <c r="N45" s="61"/>
      <c r="O45" s="62"/>
      <c r="P45" s="51"/>
      <c r="Q45" s="61"/>
      <c r="R45" s="151"/>
    </row>
    <row r="46" spans="1:18" ht="16.5" customHeight="1">
      <c r="A46" s="338"/>
      <c r="B46" s="63">
        <v>1</v>
      </c>
      <c r="C46" s="64">
        <v>1.5</v>
      </c>
      <c r="D46" s="56" t="s">
        <v>41</v>
      </c>
      <c r="E46" s="57">
        <v>7146</v>
      </c>
      <c r="F46" s="57">
        <v>7260</v>
      </c>
      <c r="G46" s="57">
        <v>7404</v>
      </c>
      <c r="H46" s="57">
        <v>7554</v>
      </c>
      <c r="I46" s="57">
        <v>7776</v>
      </c>
      <c r="J46" s="57">
        <v>8148</v>
      </c>
      <c r="K46" s="49"/>
      <c r="L46" s="60">
        <v>24</v>
      </c>
      <c r="M46" s="51"/>
      <c r="N46" s="61">
        <f aca="true" t="shared" si="4" ref="N46:N51">1000/L46</f>
        <v>41.666666666666664</v>
      </c>
      <c r="O46" s="62">
        <f aca="true" t="shared" si="5" ref="O46:O53">J46*L46/1000</f>
        <v>195.552</v>
      </c>
      <c r="P46" s="51"/>
      <c r="Q46" s="61"/>
      <c r="R46" s="151"/>
    </row>
    <row r="47" spans="1:18" ht="16.5" customHeight="1">
      <c r="A47" s="338"/>
      <c r="B47" s="54">
        <v>1</v>
      </c>
      <c r="C47" s="64">
        <v>1.5</v>
      </c>
      <c r="D47" s="56" t="s">
        <v>42</v>
      </c>
      <c r="E47" s="57">
        <v>7146</v>
      </c>
      <c r="F47" s="57">
        <v>7260</v>
      </c>
      <c r="G47" s="57">
        <v>7404</v>
      </c>
      <c r="H47" s="57">
        <v>7554</v>
      </c>
      <c r="I47" s="57">
        <v>7776</v>
      </c>
      <c r="J47" s="57">
        <v>8148</v>
      </c>
      <c r="K47" s="49"/>
      <c r="L47" s="60">
        <v>37.5</v>
      </c>
      <c r="M47" s="51"/>
      <c r="N47" s="61">
        <f t="shared" si="4"/>
        <v>26.666666666666668</v>
      </c>
      <c r="O47" s="62">
        <f t="shared" si="5"/>
        <v>305.55</v>
      </c>
      <c r="P47" s="51"/>
      <c r="Q47" s="61"/>
      <c r="R47" s="151"/>
    </row>
    <row r="48" spans="1:18" ht="16.5" customHeight="1">
      <c r="A48" s="338"/>
      <c r="B48" s="54">
        <v>1</v>
      </c>
      <c r="C48" s="64">
        <v>1.8</v>
      </c>
      <c r="D48" s="56" t="s">
        <v>39</v>
      </c>
      <c r="E48" s="57">
        <v>7128</v>
      </c>
      <c r="F48" s="57">
        <v>7242</v>
      </c>
      <c r="G48" s="57">
        <v>7386</v>
      </c>
      <c r="H48" s="58">
        <v>7536</v>
      </c>
      <c r="I48" s="58">
        <v>7758</v>
      </c>
      <c r="J48" s="58">
        <v>8124</v>
      </c>
      <c r="K48" s="49"/>
      <c r="L48" s="60">
        <v>29</v>
      </c>
      <c r="M48" s="51"/>
      <c r="N48" s="61">
        <f t="shared" si="4"/>
        <v>34.48275862068966</v>
      </c>
      <c r="O48" s="62">
        <f t="shared" si="5"/>
        <v>235.596</v>
      </c>
      <c r="P48" s="51"/>
      <c r="Q48" s="61"/>
      <c r="R48" s="151"/>
    </row>
    <row r="49" spans="1:18" ht="16.5" customHeight="1">
      <c r="A49" s="338"/>
      <c r="B49" s="63">
        <v>1</v>
      </c>
      <c r="C49" s="64">
        <v>1.8</v>
      </c>
      <c r="D49" s="56" t="s">
        <v>42</v>
      </c>
      <c r="E49" s="57">
        <v>7128</v>
      </c>
      <c r="F49" s="57">
        <v>7242</v>
      </c>
      <c r="G49" s="57">
        <v>7386</v>
      </c>
      <c r="H49" s="57">
        <v>7536</v>
      </c>
      <c r="I49" s="57">
        <v>7758</v>
      </c>
      <c r="J49" s="57">
        <v>8124</v>
      </c>
      <c r="K49" s="49"/>
      <c r="L49" s="60">
        <v>45.5</v>
      </c>
      <c r="M49" s="51"/>
      <c r="N49" s="61">
        <f t="shared" si="4"/>
        <v>21.978021978021978</v>
      </c>
      <c r="O49" s="62">
        <f t="shared" si="5"/>
        <v>369.642</v>
      </c>
      <c r="P49" s="51"/>
      <c r="Q49" s="61"/>
      <c r="R49" s="151"/>
    </row>
    <row r="50" spans="1:18" ht="16.5" customHeight="1">
      <c r="A50" s="338"/>
      <c r="B50" s="63">
        <v>1</v>
      </c>
      <c r="C50" s="64">
        <v>2</v>
      </c>
      <c r="D50" s="56" t="s">
        <v>41</v>
      </c>
      <c r="E50" s="57">
        <v>7128</v>
      </c>
      <c r="F50" s="57">
        <v>7242</v>
      </c>
      <c r="G50" s="57">
        <v>7386</v>
      </c>
      <c r="H50" s="57">
        <v>7536</v>
      </c>
      <c r="I50" s="57">
        <v>7758</v>
      </c>
      <c r="J50" s="57">
        <v>8124</v>
      </c>
      <c r="K50" s="49"/>
      <c r="L50" s="60">
        <v>33</v>
      </c>
      <c r="M50" s="51"/>
      <c r="N50" s="61">
        <f t="shared" si="4"/>
        <v>30.303030303030305</v>
      </c>
      <c r="O50" s="62">
        <f t="shared" si="5"/>
        <v>268.092</v>
      </c>
      <c r="P50" s="51"/>
      <c r="Q50" s="61"/>
      <c r="R50" s="151"/>
    </row>
    <row r="51" spans="1:18" ht="16.5" customHeight="1">
      <c r="A51" s="338"/>
      <c r="B51" s="63">
        <v>1</v>
      </c>
      <c r="C51" s="64">
        <v>2</v>
      </c>
      <c r="D51" s="56" t="s">
        <v>42</v>
      </c>
      <c r="E51" s="57">
        <v>7128</v>
      </c>
      <c r="F51" s="57">
        <v>7242</v>
      </c>
      <c r="G51" s="57">
        <v>7386</v>
      </c>
      <c r="H51" s="57">
        <v>7536</v>
      </c>
      <c r="I51" s="57">
        <v>7758</v>
      </c>
      <c r="J51" s="57">
        <v>8124</v>
      </c>
      <c r="K51" s="49"/>
      <c r="L51" s="60">
        <v>51.5</v>
      </c>
      <c r="M51" s="51"/>
      <c r="N51" s="61">
        <f t="shared" si="4"/>
        <v>19.41747572815534</v>
      </c>
      <c r="O51" s="62">
        <f t="shared" si="5"/>
        <v>418.386</v>
      </c>
      <c r="P51" s="51"/>
      <c r="Q51" s="61"/>
      <c r="R51" s="151"/>
    </row>
    <row r="52" spans="1:18" ht="16.5" customHeight="1">
      <c r="A52" s="338"/>
      <c r="B52" s="63">
        <v>1</v>
      </c>
      <c r="C52" s="64">
        <v>2.5</v>
      </c>
      <c r="D52" s="56" t="s">
        <v>42</v>
      </c>
      <c r="E52" s="57">
        <v>7896</v>
      </c>
      <c r="F52" s="57">
        <v>8016</v>
      </c>
      <c r="G52" s="57">
        <v>8184</v>
      </c>
      <c r="H52" s="57">
        <v>8346</v>
      </c>
      <c r="I52" s="57">
        <v>8592</v>
      </c>
      <c r="J52" s="57">
        <v>9000</v>
      </c>
      <c r="K52" s="49"/>
      <c r="L52" s="60">
        <v>62.5</v>
      </c>
      <c r="M52" s="51"/>
      <c r="N52" s="61">
        <f>1000/L52</f>
        <v>16</v>
      </c>
      <c r="O52" s="62">
        <f t="shared" si="5"/>
        <v>562.5</v>
      </c>
      <c r="P52" s="51"/>
      <c r="Q52" s="61"/>
      <c r="R52" s="151"/>
    </row>
    <row r="53" spans="1:18" ht="16.5" customHeight="1" thickBot="1">
      <c r="A53" s="339"/>
      <c r="B53" s="86">
        <v>1</v>
      </c>
      <c r="C53" s="66">
        <v>3</v>
      </c>
      <c r="D53" s="67" t="s">
        <v>40</v>
      </c>
      <c r="E53" s="68">
        <v>7896</v>
      </c>
      <c r="F53" s="68">
        <v>8016</v>
      </c>
      <c r="G53" s="68">
        <v>8346</v>
      </c>
      <c r="H53" s="69">
        <v>8346</v>
      </c>
      <c r="I53" s="69">
        <v>8592</v>
      </c>
      <c r="J53" s="69">
        <v>9000</v>
      </c>
      <c r="K53" s="49"/>
      <c r="L53" s="71">
        <v>75</v>
      </c>
      <c r="M53" s="51"/>
      <c r="N53" s="72">
        <f>1000/L53</f>
        <v>13.333333333333334</v>
      </c>
      <c r="O53" s="73">
        <f t="shared" si="5"/>
        <v>675</v>
      </c>
      <c r="P53" s="51"/>
      <c r="Q53" s="72"/>
      <c r="R53" s="152"/>
    </row>
    <row r="54" spans="1:18" ht="12" customHeight="1" thickBot="1">
      <c r="A54" s="74"/>
      <c r="B54" s="75"/>
      <c r="C54" s="76"/>
      <c r="D54" s="77"/>
      <c r="E54" s="78"/>
      <c r="F54" s="78"/>
      <c r="G54" s="78"/>
      <c r="H54" s="79"/>
      <c r="I54" s="79"/>
      <c r="J54" s="79"/>
      <c r="K54" s="49"/>
      <c r="L54" s="153"/>
      <c r="M54" s="51"/>
      <c r="N54" s="81"/>
      <c r="O54" s="82"/>
      <c r="P54" s="51"/>
      <c r="Q54" s="81"/>
      <c r="R54" s="154"/>
    </row>
    <row r="55" spans="1:18" ht="16.5" customHeight="1">
      <c r="A55" s="149" t="s">
        <v>46</v>
      </c>
      <c r="B55" s="83"/>
      <c r="C55" s="84" t="s">
        <v>47</v>
      </c>
      <c r="D55" s="46" t="s">
        <v>39</v>
      </c>
      <c r="E55" s="104">
        <v>6180</v>
      </c>
      <c r="F55" s="104">
        <v>6276</v>
      </c>
      <c r="G55" s="104">
        <v>6402</v>
      </c>
      <c r="H55" s="47">
        <v>6528</v>
      </c>
      <c r="I55" s="47">
        <v>6720</v>
      </c>
      <c r="J55" s="47">
        <v>7044</v>
      </c>
      <c r="K55" s="49"/>
      <c r="L55" s="155"/>
      <c r="M55" s="51"/>
      <c r="N55" s="52"/>
      <c r="O55" s="53"/>
      <c r="P55" s="51"/>
      <c r="Q55" s="52"/>
      <c r="R55" s="150"/>
    </row>
    <row r="56" spans="1:18" ht="16.5" customHeight="1">
      <c r="A56" s="321"/>
      <c r="B56" s="63"/>
      <c r="C56" s="64" t="s">
        <v>48</v>
      </c>
      <c r="D56" s="56" t="s">
        <v>39</v>
      </c>
      <c r="E56" s="57">
        <v>6180</v>
      </c>
      <c r="F56" s="57">
        <v>6276</v>
      </c>
      <c r="G56" s="57">
        <v>6402</v>
      </c>
      <c r="H56" s="58">
        <v>6528</v>
      </c>
      <c r="I56" s="58">
        <v>6720</v>
      </c>
      <c r="J56" s="58">
        <v>7044</v>
      </c>
      <c r="K56" s="49"/>
      <c r="L56" s="156"/>
      <c r="M56" s="51"/>
      <c r="N56" s="61"/>
      <c r="O56" s="62"/>
      <c r="P56" s="51"/>
      <c r="Q56" s="61"/>
      <c r="R56" s="151"/>
    </row>
    <row r="57" spans="1:18" ht="16.5" customHeight="1" thickBot="1">
      <c r="A57" s="322"/>
      <c r="B57" s="86"/>
      <c r="C57" s="66" t="s">
        <v>48</v>
      </c>
      <c r="D57" s="67" t="s">
        <v>40</v>
      </c>
      <c r="E57" s="68">
        <v>6180</v>
      </c>
      <c r="F57" s="68">
        <v>6276</v>
      </c>
      <c r="G57" s="68">
        <v>6402</v>
      </c>
      <c r="H57" s="69">
        <v>6528</v>
      </c>
      <c r="I57" s="69">
        <v>6720</v>
      </c>
      <c r="J57" s="69">
        <v>7044</v>
      </c>
      <c r="K57" s="49"/>
      <c r="L57" s="157"/>
      <c r="M57" s="51"/>
      <c r="N57" s="72"/>
      <c r="O57" s="73"/>
      <c r="P57" s="51"/>
      <c r="Q57" s="72"/>
      <c r="R57" s="152"/>
    </row>
    <row r="58" spans="1:18" ht="12" customHeight="1" thickBot="1">
      <c r="A58" s="88"/>
      <c r="B58" s="89"/>
      <c r="C58" s="90"/>
      <c r="D58" s="91"/>
      <c r="E58" s="92"/>
      <c r="F58" s="92"/>
      <c r="G58" s="92"/>
      <c r="H58" s="93"/>
      <c r="I58" s="93"/>
      <c r="J58" s="93"/>
      <c r="K58" s="94"/>
      <c r="L58" s="95"/>
      <c r="M58" s="96"/>
      <c r="N58" s="97"/>
      <c r="O58" s="98"/>
      <c r="P58" s="96"/>
      <c r="Q58" s="97"/>
      <c r="R58" s="158"/>
    </row>
    <row r="59" spans="1:10" ht="6.75" customHeight="1">
      <c r="A59" s="99"/>
      <c r="B59" s="100"/>
      <c r="C59" s="101"/>
      <c r="D59" s="101"/>
      <c r="E59" s="102"/>
      <c r="F59" s="102"/>
      <c r="G59" s="102"/>
      <c r="H59" s="102"/>
      <c r="I59" s="102"/>
      <c r="J59" s="102"/>
    </row>
    <row r="60" spans="1:10" ht="18" customHeight="1">
      <c r="A60" s="103" t="s">
        <v>49</v>
      </c>
      <c r="B60" s="100"/>
      <c r="C60" s="101"/>
      <c r="D60" s="101"/>
      <c r="E60" s="102"/>
      <c r="F60" s="102"/>
      <c r="G60" s="102"/>
      <c r="H60" s="102"/>
      <c r="I60" s="102"/>
      <c r="J60" s="102"/>
    </row>
    <row r="61" spans="1:10" ht="18" customHeight="1" thickBot="1">
      <c r="A61" s="103"/>
      <c r="B61" s="100"/>
      <c r="C61" s="101"/>
      <c r="D61" s="101"/>
      <c r="E61" s="102"/>
      <c r="F61" s="102"/>
      <c r="G61" s="102"/>
      <c r="H61" s="102"/>
      <c r="I61" s="102"/>
      <c r="J61" s="102"/>
    </row>
    <row r="62" spans="1:18" ht="18" customHeight="1">
      <c r="A62" s="306" t="s">
        <v>50</v>
      </c>
      <c r="B62" s="306"/>
      <c r="C62" s="306"/>
      <c r="D62" s="306"/>
      <c r="E62" s="306"/>
      <c r="F62" s="306"/>
      <c r="G62" s="306"/>
      <c r="H62" s="306"/>
      <c r="I62" s="306"/>
      <c r="J62" s="306"/>
      <c r="L62" s="307" t="s">
        <v>71</v>
      </c>
      <c r="M62" s="308"/>
      <c r="N62" s="308"/>
      <c r="O62" s="308"/>
      <c r="P62" s="308"/>
      <c r="Q62" s="308"/>
      <c r="R62" s="309"/>
    </row>
    <row r="63" spans="1:18" ht="13.5" customHeight="1" thickBot="1">
      <c r="A63" s="29"/>
      <c r="B63" s="30"/>
      <c r="C63" s="31"/>
      <c r="D63" s="31"/>
      <c r="E63" s="32"/>
      <c r="F63" s="32"/>
      <c r="G63" s="32"/>
      <c r="H63" s="32"/>
      <c r="I63" s="32"/>
      <c r="J63" s="32"/>
      <c r="L63" s="33"/>
      <c r="N63" s="34"/>
      <c r="O63" s="144"/>
      <c r="P63" s="12"/>
      <c r="Q63" s="12"/>
      <c r="R63" s="145"/>
    </row>
    <row r="64" spans="1:18" ht="22.5" customHeight="1">
      <c r="A64" s="340" t="s">
        <v>21</v>
      </c>
      <c r="B64" s="341"/>
      <c r="C64" s="341"/>
      <c r="D64" s="341"/>
      <c r="E64" s="304"/>
      <c r="F64" s="304"/>
      <c r="G64" s="304"/>
      <c r="H64" s="304"/>
      <c r="I64" s="304"/>
      <c r="J64" s="304"/>
      <c r="K64" s="35"/>
      <c r="L64" s="36" t="s">
        <v>22</v>
      </c>
      <c r="M64" s="159"/>
      <c r="N64" s="38" t="s">
        <v>23</v>
      </c>
      <c r="O64" s="39" t="s">
        <v>24</v>
      </c>
      <c r="P64" s="35"/>
      <c r="Q64" s="146" t="s">
        <v>68</v>
      </c>
      <c r="R64" s="147" t="s">
        <v>24</v>
      </c>
    </row>
    <row r="65" spans="1:18" ht="22.5" customHeight="1">
      <c r="A65" s="342" t="s">
        <v>25</v>
      </c>
      <c r="B65" s="344" t="s">
        <v>26</v>
      </c>
      <c r="C65" s="344" t="s">
        <v>27</v>
      </c>
      <c r="D65" s="344" t="s">
        <v>28</v>
      </c>
      <c r="E65" s="140" t="s">
        <v>29</v>
      </c>
      <c r="F65" s="140" t="s">
        <v>30</v>
      </c>
      <c r="G65" s="140" t="s">
        <v>31</v>
      </c>
      <c r="H65" s="141" t="s">
        <v>32</v>
      </c>
      <c r="I65" s="141" t="s">
        <v>33</v>
      </c>
      <c r="J65" s="141" t="s">
        <v>34</v>
      </c>
      <c r="K65" s="35"/>
      <c r="L65" s="296" t="s">
        <v>35</v>
      </c>
      <c r="M65" s="160"/>
      <c r="N65" s="298" t="s">
        <v>36</v>
      </c>
      <c r="O65" s="312" t="s">
        <v>35</v>
      </c>
      <c r="P65" s="35"/>
      <c r="Q65" s="302" t="s">
        <v>69</v>
      </c>
      <c r="R65" s="294" t="s">
        <v>70</v>
      </c>
    </row>
    <row r="66" spans="1:18" ht="22.5" customHeight="1" outlineLevel="1" thickBot="1">
      <c r="A66" s="343"/>
      <c r="B66" s="345"/>
      <c r="C66" s="345"/>
      <c r="D66" s="345"/>
      <c r="E66" s="41" t="s">
        <v>37</v>
      </c>
      <c r="F66" s="41" t="s">
        <v>37</v>
      </c>
      <c r="G66" s="41" t="s">
        <v>37</v>
      </c>
      <c r="H66" s="41" t="s">
        <v>37</v>
      </c>
      <c r="I66" s="41" t="s">
        <v>37</v>
      </c>
      <c r="J66" s="42" t="s">
        <v>37</v>
      </c>
      <c r="K66" s="35"/>
      <c r="L66" s="310"/>
      <c r="M66" s="35"/>
      <c r="N66" s="311"/>
      <c r="O66" s="313"/>
      <c r="P66" s="35"/>
      <c r="Q66" s="303"/>
      <c r="R66" s="295"/>
    </row>
    <row r="67" spans="1:18" ht="16.5" customHeight="1">
      <c r="A67" s="335" t="s">
        <v>51</v>
      </c>
      <c r="B67" s="44">
        <v>1</v>
      </c>
      <c r="C67" s="45">
        <v>6</v>
      </c>
      <c r="D67" s="46" t="s">
        <v>52</v>
      </c>
      <c r="E67" s="104">
        <v>5910</v>
      </c>
      <c r="F67" s="104">
        <v>5958</v>
      </c>
      <c r="G67" s="104">
        <v>6090</v>
      </c>
      <c r="H67" s="47">
        <v>6210</v>
      </c>
      <c r="I67" s="47">
        <v>6390</v>
      </c>
      <c r="J67" s="47">
        <v>6696</v>
      </c>
      <c r="K67" s="49"/>
      <c r="L67" s="155">
        <v>426</v>
      </c>
      <c r="M67" s="161"/>
      <c r="N67" s="52">
        <f aca="true" t="shared" si="6" ref="N67:N73">1000/L67</f>
        <v>2.347417840375587</v>
      </c>
      <c r="O67" s="53">
        <f>H67*L67/1000</f>
        <v>2645.46</v>
      </c>
      <c r="P67" s="161"/>
      <c r="Q67" s="52">
        <f>C67*1500</f>
        <v>9000</v>
      </c>
      <c r="R67" s="150">
        <f aca="true" t="shared" si="7" ref="R67:R82">Q67*0.003</f>
        <v>27</v>
      </c>
    </row>
    <row r="68" spans="1:18" ht="16.5" customHeight="1">
      <c r="A68" s="336"/>
      <c r="B68" s="105">
        <v>1</v>
      </c>
      <c r="C68" s="55">
        <v>8</v>
      </c>
      <c r="D68" s="56" t="s">
        <v>52</v>
      </c>
      <c r="E68" s="57">
        <v>5910</v>
      </c>
      <c r="F68" s="57">
        <v>5958</v>
      </c>
      <c r="G68" s="57">
        <v>6090</v>
      </c>
      <c r="H68" s="58">
        <v>6210</v>
      </c>
      <c r="I68" s="58">
        <v>6390</v>
      </c>
      <c r="J68" s="58">
        <v>6696</v>
      </c>
      <c r="K68" s="49"/>
      <c r="L68" s="156">
        <v>568</v>
      </c>
      <c r="M68" s="161"/>
      <c r="N68" s="61">
        <f t="shared" si="6"/>
        <v>1.7605633802816902</v>
      </c>
      <c r="O68" s="62">
        <f>H68*L68/1000</f>
        <v>3527.28</v>
      </c>
      <c r="P68" s="161"/>
      <c r="Q68" s="61">
        <f aca="true" t="shared" si="8" ref="Q68:Q74">C68*1500</f>
        <v>12000</v>
      </c>
      <c r="R68" s="151">
        <f t="shared" si="7"/>
        <v>36</v>
      </c>
    </row>
    <row r="69" spans="1:18" ht="16.5" customHeight="1">
      <c r="A69" s="336"/>
      <c r="B69" s="54">
        <v>1</v>
      </c>
      <c r="C69" s="55">
        <v>10</v>
      </c>
      <c r="D69" s="56" t="s">
        <v>52</v>
      </c>
      <c r="E69" s="57">
        <v>6030</v>
      </c>
      <c r="F69" s="57">
        <v>6078</v>
      </c>
      <c r="G69" s="57">
        <v>6210</v>
      </c>
      <c r="H69" s="58">
        <v>6330</v>
      </c>
      <c r="I69" s="58">
        <v>6516</v>
      </c>
      <c r="J69" s="58">
        <v>6828</v>
      </c>
      <c r="K69" s="49"/>
      <c r="L69" s="156">
        <v>710</v>
      </c>
      <c r="M69" s="161"/>
      <c r="N69" s="61">
        <f t="shared" si="6"/>
        <v>1.408450704225352</v>
      </c>
      <c r="O69" s="62">
        <f>H69*L69/1000</f>
        <v>4494.3</v>
      </c>
      <c r="P69" s="161"/>
      <c r="Q69" s="61">
        <f t="shared" si="8"/>
        <v>15000</v>
      </c>
      <c r="R69" s="151">
        <f t="shared" si="7"/>
        <v>45</v>
      </c>
    </row>
    <row r="70" spans="1:18" ht="16.5" customHeight="1">
      <c r="A70" s="336"/>
      <c r="B70" s="54">
        <v>1</v>
      </c>
      <c r="C70" s="55">
        <v>12</v>
      </c>
      <c r="D70" s="56" t="s">
        <v>52</v>
      </c>
      <c r="E70" s="57">
        <v>6030</v>
      </c>
      <c r="F70" s="57">
        <v>6078</v>
      </c>
      <c r="G70" s="57">
        <v>6210</v>
      </c>
      <c r="H70" s="57">
        <v>6330</v>
      </c>
      <c r="I70" s="57">
        <v>6516</v>
      </c>
      <c r="J70" s="57">
        <v>6828</v>
      </c>
      <c r="K70" s="49"/>
      <c r="L70" s="156">
        <v>852</v>
      </c>
      <c r="M70" s="161"/>
      <c r="N70" s="61">
        <f t="shared" si="6"/>
        <v>1.1737089201877935</v>
      </c>
      <c r="O70" s="62">
        <f>H70*L70/1000</f>
        <v>5393.16</v>
      </c>
      <c r="P70" s="161"/>
      <c r="Q70" s="61">
        <f t="shared" si="8"/>
        <v>18000</v>
      </c>
      <c r="R70" s="151">
        <f t="shared" si="7"/>
        <v>54</v>
      </c>
    </row>
    <row r="71" spans="1:18" ht="16.5" customHeight="1">
      <c r="A71" s="336"/>
      <c r="B71" s="54">
        <v>1</v>
      </c>
      <c r="C71" s="55">
        <v>14</v>
      </c>
      <c r="D71" s="56" t="s">
        <v>52</v>
      </c>
      <c r="E71" s="57">
        <v>6030</v>
      </c>
      <c r="F71" s="57">
        <v>6078</v>
      </c>
      <c r="G71" s="57">
        <v>6210</v>
      </c>
      <c r="H71" s="57">
        <v>6330</v>
      </c>
      <c r="I71" s="57">
        <v>6516</v>
      </c>
      <c r="J71" s="57">
        <v>6828</v>
      </c>
      <c r="K71" s="49"/>
      <c r="L71" s="156">
        <v>994</v>
      </c>
      <c r="M71" s="161"/>
      <c r="N71" s="61">
        <f t="shared" si="6"/>
        <v>1.0060362173038229</v>
      </c>
      <c r="O71" s="62">
        <f>H71*L71/1000</f>
        <v>6292.02</v>
      </c>
      <c r="P71" s="161"/>
      <c r="Q71" s="61">
        <f t="shared" si="8"/>
        <v>21000</v>
      </c>
      <c r="R71" s="151">
        <f t="shared" si="7"/>
        <v>63</v>
      </c>
    </row>
    <row r="72" spans="1:18" ht="16.5" customHeight="1">
      <c r="A72" s="336"/>
      <c r="B72" s="54">
        <v>1</v>
      </c>
      <c r="C72" s="55">
        <v>16</v>
      </c>
      <c r="D72" s="56" t="s">
        <v>52</v>
      </c>
      <c r="E72" s="57">
        <v>6030</v>
      </c>
      <c r="F72" s="57">
        <v>6078</v>
      </c>
      <c r="G72" s="57">
        <v>6210</v>
      </c>
      <c r="H72" s="57">
        <v>6330</v>
      </c>
      <c r="I72" s="57">
        <v>6516</v>
      </c>
      <c r="J72" s="57">
        <v>6828</v>
      </c>
      <c r="K72" s="49"/>
      <c r="L72" s="156">
        <v>1137</v>
      </c>
      <c r="M72" s="161"/>
      <c r="N72" s="61">
        <f t="shared" si="6"/>
        <v>0.8795074758135444</v>
      </c>
      <c r="O72" s="62">
        <f>G72*L72/1000</f>
        <v>7060.77</v>
      </c>
      <c r="P72" s="161"/>
      <c r="Q72" s="61">
        <f t="shared" si="8"/>
        <v>24000</v>
      </c>
      <c r="R72" s="151">
        <f t="shared" si="7"/>
        <v>72</v>
      </c>
    </row>
    <row r="73" spans="1:18" ht="16.5" customHeight="1">
      <c r="A73" s="336"/>
      <c r="B73" s="54">
        <v>1</v>
      </c>
      <c r="C73" s="55">
        <v>18</v>
      </c>
      <c r="D73" s="56" t="s">
        <v>52</v>
      </c>
      <c r="E73" s="57">
        <v>6030</v>
      </c>
      <c r="F73" s="57">
        <v>6078</v>
      </c>
      <c r="G73" s="57">
        <v>6210</v>
      </c>
      <c r="H73" s="57">
        <v>6330</v>
      </c>
      <c r="I73" s="57">
        <v>6516</v>
      </c>
      <c r="J73" s="57">
        <v>6828</v>
      </c>
      <c r="K73" s="49"/>
      <c r="L73" s="156">
        <v>1280</v>
      </c>
      <c r="M73" s="161"/>
      <c r="N73" s="61">
        <f t="shared" si="6"/>
        <v>0.78125</v>
      </c>
      <c r="O73" s="62">
        <f>G73*L73/1000</f>
        <v>7948.8</v>
      </c>
      <c r="P73" s="161"/>
      <c r="Q73" s="61">
        <f t="shared" si="8"/>
        <v>27000</v>
      </c>
      <c r="R73" s="151">
        <f t="shared" si="7"/>
        <v>81</v>
      </c>
    </row>
    <row r="74" spans="1:18" ht="16.5" customHeight="1" thickBot="1">
      <c r="A74" s="337"/>
      <c r="B74" s="86">
        <v>1</v>
      </c>
      <c r="C74" s="107">
        <v>20</v>
      </c>
      <c r="D74" s="67" t="s">
        <v>52</v>
      </c>
      <c r="E74" s="68">
        <v>6030</v>
      </c>
      <c r="F74" s="68">
        <v>6078</v>
      </c>
      <c r="G74" s="68">
        <v>6210</v>
      </c>
      <c r="H74" s="68">
        <v>6330</v>
      </c>
      <c r="I74" s="68">
        <v>6516</v>
      </c>
      <c r="J74" s="68">
        <v>6828</v>
      </c>
      <c r="K74" s="49"/>
      <c r="L74" s="157">
        <v>1428</v>
      </c>
      <c r="M74" s="161"/>
      <c r="N74" s="72">
        <f>1000/L74</f>
        <v>0.7002801120448179</v>
      </c>
      <c r="O74" s="73">
        <f>G74*L74/1000</f>
        <v>8867.88</v>
      </c>
      <c r="P74" s="161"/>
      <c r="Q74" s="72">
        <f t="shared" si="8"/>
        <v>30000</v>
      </c>
      <c r="R74" s="152">
        <f t="shared" si="7"/>
        <v>90</v>
      </c>
    </row>
    <row r="75" spans="1:18" ht="12" customHeight="1" thickBot="1">
      <c r="A75" s="74"/>
      <c r="B75" s="75"/>
      <c r="C75" s="76"/>
      <c r="D75" s="77"/>
      <c r="E75" s="78"/>
      <c r="F75" s="78"/>
      <c r="G75" s="78"/>
      <c r="H75" s="79"/>
      <c r="I75" s="79"/>
      <c r="J75" s="79"/>
      <c r="K75" s="49"/>
      <c r="L75" s="153"/>
      <c r="M75" s="161"/>
      <c r="N75" s="81"/>
      <c r="O75" s="82"/>
      <c r="P75" s="161"/>
      <c r="Q75" s="81"/>
      <c r="R75" s="154"/>
    </row>
    <row r="76" spans="1:18" ht="16.5" customHeight="1">
      <c r="A76" s="323" t="s">
        <v>53</v>
      </c>
      <c r="B76" s="83">
        <v>1</v>
      </c>
      <c r="C76" s="84">
        <v>8</v>
      </c>
      <c r="D76" s="46" t="s">
        <v>52</v>
      </c>
      <c r="E76" s="104">
        <v>6630</v>
      </c>
      <c r="F76" s="104">
        <v>6678</v>
      </c>
      <c r="G76" s="104">
        <v>6810</v>
      </c>
      <c r="H76" s="47">
        <v>6942</v>
      </c>
      <c r="I76" s="47">
        <v>7146</v>
      </c>
      <c r="J76" s="47">
        <v>7488</v>
      </c>
      <c r="K76" s="49"/>
      <c r="L76" s="155">
        <v>568</v>
      </c>
      <c r="M76" s="161"/>
      <c r="N76" s="52">
        <f aca="true" t="shared" si="9" ref="N76:N82">1000/L76</f>
        <v>1.7605633802816902</v>
      </c>
      <c r="O76" s="53">
        <f aca="true" t="shared" si="10" ref="O76:O82">H76*L76/1000</f>
        <v>3943.056</v>
      </c>
      <c r="P76" s="161"/>
      <c r="Q76" s="52">
        <f>C76*1500</f>
        <v>12000</v>
      </c>
      <c r="R76" s="150">
        <f t="shared" si="7"/>
        <v>36</v>
      </c>
    </row>
    <row r="77" spans="1:18" ht="16.5" customHeight="1">
      <c r="A77" s="338"/>
      <c r="B77" s="54">
        <v>1</v>
      </c>
      <c r="C77" s="64">
        <v>10</v>
      </c>
      <c r="D77" s="56" t="s">
        <v>52</v>
      </c>
      <c r="E77" s="57">
        <v>6582</v>
      </c>
      <c r="F77" s="57">
        <v>6630</v>
      </c>
      <c r="G77" s="57">
        <v>6762</v>
      </c>
      <c r="H77" s="58">
        <v>6900</v>
      </c>
      <c r="I77" s="58">
        <v>7098</v>
      </c>
      <c r="J77" s="58">
        <v>7440</v>
      </c>
      <c r="K77" s="49"/>
      <c r="L77" s="156">
        <v>710</v>
      </c>
      <c r="M77" s="161"/>
      <c r="N77" s="61">
        <f t="shared" si="9"/>
        <v>1.408450704225352</v>
      </c>
      <c r="O77" s="62">
        <f t="shared" si="10"/>
        <v>4899</v>
      </c>
      <c r="P77" s="161"/>
      <c r="Q77" s="61">
        <f aca="true" t="shared" si="11" ref="Q77:Q82">C77*1500</f>
        <v>15000</v>
      </c>
      <c r="R77" s="151">
        <f t="shared" si="7"/>
        <v>45</v>
      </c>
    </row>
    <row r="78" spans="1:18" ht="16.5" customHeight="1">
      <c r="A78" s="338"/>
      <c r="B78" s="54">
        <v>1</v>
      </c>
      <c r="C78" s="64">
        <v>12</v>
      </c>
      <c r="D78" s="85" t="s">
        <v>52</v>
      </c>
      <c r="E78" s="57">
        <v>6582</v>
      </c>
      <c r="F78" s="57">
        <v>6630</v>
      </c>
      <c r="G78" s="57">
        <v>6762</v>
      </c>
      <c r="H78" s="57">
        <v>6900</v>
      </c>
      <c r="I78" s="57">
        <v>7098</v>
      </c>
      <c r="J78" s="57">
        <v>7440</v>
      </c>
      <c r="K78" s="49"/>
      <c r="L78" s="156">
        <v>852</v>
      </c>
      <c r="M78" s="161"/>
      <c r="N78" s="61">
        <f t="shared" si="9"/>
        <v>1.1737089201877935</v>
      </c>
      <c r="O78" s="62">
        <f t="shared" si="10"/>
        <v>5878.8</v>
      </c>
      <c r="P78" s="161"/>
      <c r="Q78" s="61">
        <f t="shared" si="11"/>
        <v>18000</v>
      </c>
      <c r="R78" s="151">
        <f t="shared" si="7"/>
        <v>54</v>
      </c>
    </row>
    <row r="79" spans="1:18" ht="16.5" customHeight="1">
      <c r="A79" s="338"/>
      <c r="B79" s="54">
        <v>1</v>
      </c>
      <c r="C79" s="64">
        <v>14</v>
      </c>
      <c r="D79" s="56" t="s">
        <v>52</v>
      </c>
      <c r="E79" s="57">
        <v>6582</v>
      </c>
      <c r="F79" s="57">
        <v>6630</v>
      </c>
      <c r="G79" s="57">
        <v>6762</v>
      </c>
      <c r="H79" s="57">
        <v>6900</v>
      </c>
      <c r="I79" s="57">
        <v>7098</v>
      </c>
      <c r="J79" s="57">
        <v>7440</v>
      </c>
      <c r="K79" s="49"/>
      <c r="L79" s="156">
        <v>994</v>
      </c>
      <c r="M79" s="161"/>
      <c r="N79" s="61">
        <f t="shared" si="9"/>
        <v>1.0060362173038229</v>
      </c>
      <c r="O79" s="62">
        <f t="shared" si="10"/>
        <v>6858.6</v>
      </c>
      <c r="P79" s="161"/>
      <c r="Q79" s="61">
        <f t="shared" si="11"/>
        <v>21000</v>
      </c>
      <c r="R79" s="151">
        <f t="shared" si="7"/>
        <v>63</v>
      </c>
    </row>
    <row r="80" spans="1:18" ht="16.5" customHeight="1">
      <c r="A80" s="338"/>
      <c r="B80" s="54">
        <v>1</v>
      </c>
      <c r="C80" s="64">
        <v>16</v>
      </c>
      <c r="D80" s="56" t="s">
        <v>52</v>
      </c>
      <c r="E80" s="57">
        <v>6582</v>
      </c>
      <c r="F80" s="57">
        <v>6630</v>
      </c>
      <c r="G80" s="57">
        <v>6762</v>
      </c>
      <c r="H80" s="57">
        <v>6900</v>
      </c>
      <c r="I80" s="57">
        <v>7098</v>
      </c>
      <c r="J80" s="57">
        <v>7440</v>
      </c>
      <c r="K80" s="49"/>
      <c r="L80" s="156">
        <v>1137</v>
      </c>
      <c r="M80" s="161"/>
      <c r="N80" s="61">
        <f t="shared" si="9"/>
        <v>0.8795074758135444</v>
      </c>
      <c r="O80" s="62">
        <f t="shared" si="10"/>
        <v>7845.3</v>
      </c>
      <c r="P80" s="161"/>
      <c r="Q80" s="61">
        <f t="shared" si="11"/>
        <v>24000</v>
      </c>
      <c r="R80" s="151">
        <f t="shared" si="7"/>
        <v>72</v>
      </c>
    </row>
    <row r="81" spans="1:18" ht="16.5" customHeight="1">
      <c r="A81" s="338"/>
      <c r="B81" s="54">
        <v>1</v>
      </c>
      <c r="C81" s="64">
        <v>18</v>
      </c>
      <c r="D81" s="56" t="s">
        <v>52</v>
      </c>
      <c r="E81" s="57">
        <v>6582</v>
      </c>
      <c r="F81" s="57">
        <v>6630</v>
      </c>
      <c r="G81" s="57">
        <v>6762</v>
      </c>
      <c r="H81" s="57">
        <v>6900</v>
      </c>
      <c r="I81" s="57">
        <v>7098</v>
      </c>
      <c r="J81" s="57">
        <v>7440</v>
      </c>
      <c r="K81" s="49"/>
      <c r="L81" s="156">
        <v>1280</v>
      </c>
      <c r="M81" s="161"/>
      <c r="N81" s="61">
        <f t="shared" si="9"/>
        <v>0.78125</v>
      </c>
      <c r="O81" s="62">
        <f t="shared" si="10"/>
        <v>8832</v>
      </c>
      <c r="P81" s="161"/>
      <c r="Q81" s="61">
        <f t="shared" si="11"/>
        <v>27000</v>
      </c>
      <c r="R81" s="151">
        <f t="shared" si="7"/>
        <v>81</v>
      </c>
    </row>
    <row r="82" spans="1:18" ht="16.5" customHeight="1" thickBot="1">
      <c r="A82" s="339"/>
      <c r="B82" s="86">
        <v>1</v>
      </c>
      <c r="C82" s="66">
        <v>20</v>
      </c>
      <c r="D82" s="67" t="s">
        <v>52</v>
      </c>
      <c r="E82" s="68">
        <v>6582</v>
      </c>
      <c r="F82" s="68">
        <v>6630</v>
      </c>
      <c r="G82" s="68">
        <v>6762</v>
      </c>
      <c r="H82" s="68">
        <v>6900</v>
      </c>
      <c r="I82" s="68">
        <v>7098</v>
      </c>
      <c r="J82" s="68">
        <v>7440</v>
      </c>
      <c r="K82" s="49"/>
      <c r="L82" s="157">
        <v>1428</v>
      </c>
      <c r="M82" s="161"/>
      <c r="N82" s="72">
        <f t="shared" si="9"/>
        <v>0.7002801120448179</v>
      </c>
      <c r="O82" s="73">
        <f t="shared" si="10"/>
        <v>9853.2</v>
      </c>
      <c r="P82" s="161"/>
      <c r="Q82" s="72">
        <f t="shared" si="11"/>
        <v>30000</v>
      </c>
      <c r="R82" s="152">
        <f t="shared" si="7"/>
        <v>90</v>
      </c>
    </row>
    <row r="83" spans="1:18" ht="12" customHeight="1" thickBot="1">
      <c r="A83" s="74"/>
      <c r="B83" s="75"/>
      <c r="C83" s="76"/>
      <c r="D83" s="77"/>
      <c r="E83" s="78"/>
      <c r="F83" s="78"/>
      <c r="G83" s="78"/>
      <c r="H83" s="79"/>
      <c r="I83" s="79"/>
      <c r="J83" s="79"/>
      <c r="K83" s="49"/>
      <c r="L83" s="153"/>
      <c r="M83" s="161"/>
      <c r="N83" s="81"/>
      <c r="O83" s="82"/>
      <c r="P83" s="161"/>
      <c r="Q83" s="81"/>
      <c r="R83" s="154"/>
    </row>
    <row r="84" spans="1:18" ht="16.5" customHeight="1">
      <c r="A84" s="333" t="s">
        <v>54</v>
      </c>
      <c r="B84" s="83"/>
      <c r="C84" s="109" t="s">
        <v>55</v>
      </c>
      <c r="D84" s="46" t="s">
        <v>56</v>
      </c>
      <c r="E84" s="104">
        <v>5616</v>
      </c>
      <c r="F84" s="104">
        <v>5670</v>
      </c>
      <c r="G84" s="104">
        <v>5796</v>
      </c>
      <c r="H84" s="47">
        <v>5916</v>
      </c>
      <c r="I84" s="47">
        <v>6090</v>
      </c>
      <c r="J84" s="47">
        <v>6378</v>
      </c>
      <c r="K84" s="49"/>
      <c r="L84" s="155"/>
      <c r="M84" s="161"/>
      <c r="N84" s="52"/>
      <c r="O84" s="53"/>
      <c r="P84" s="161"/>
      <c r="Q84" s="52"/>
      <c r="R84" s="150"/>
    </row>
    <row r="85" spans="1:18" ht="16.5" customHeight="1" thickBot="1">
      <c r="A85" s="334"/>
      <c r="B85" s="86"/>
      <c r="C85" s="110" t="s">
        <v>57</v>
      </c>
      <c r="D85" s="67" t="s">
        <v>56</v>
      </c>
      <c r="E85" s="68">
        <v>5766</v>
      </c>
      <c r="F85" s="68">
        <v>5820</v>
      </c>
      <c r="G85" s="68">
        <v>5946</v>
      </c>
      <c r="H85" s="69">
        <v>6066</v>
      </c>
      <c r="I85" s="69">
        <v>6246</v>
      </c>
      <c r="J85" s="69">
        <v>6540</v>
      </c>
      <c r="K85" s="49"/>
      <c r="L85" s="157"/>
      <c r="M85" s="161"/>
      <c r="N85" s="72"/>
      <c r="O85" s="73"/>
      <c r="P85" s="161"/>
      <c r="Q85" s="72"/>
      <c r="R85" s="152"/>
    </row>
    <row r="86" spans="1:18" ht="12" customHeight="1" thickBot="1">
      <c r="A86" s="111"/>
      <c r="B86" s="112"/>
      <c r="C86" s="113"/>
      <c r="D86" s="114"/>
      <c r="E86" s="115"/>
      <c r="F86" s="115"/>
      <c r="G86" s="115"/>
      <c r="H86" s="116"/>
      <c r="I86" s="116"/>
      <c r="J86" s="116"/>
      <c r="K86" s="117"/>
      <c r="L86" s="162"/>
      <c r="M86" s="163"/>
      <c r="N86" s="118"/>
      <c r="O86" s="119"/>
      <c r="P86" s="163"/>
      <c r="Q86" s="118"/>
      <c r="R86" s="164"/>
    </row>
    <row r="87" spans="1:10" ht="6.75" customHeight="1">
      <c r="A87" s="99"/>
      <c r="B87" s="100"/>
      <c r="C87" s="101"/>
      <c r="D87" s="101"/>
      <c r="E87" s="102"/>
      <c r="F87" s="102"/>
      <c r="G87" s="102"/>
      <c r="H87" s="102"/>
      <c r="I87" s="102"/>
      <c r="J87" s="102"/>
    </row>
    <row r="88" spans="1:18" ht="18" customHeight="1">
      <c r="A88" s="305" t="s">
        <v>58</v>
      </c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</row>
    <row r="89" spans="1:11" ht="18" customHeight="1" thickBot="1">
      <c r="A89" s="100"/>
      <c r="B89" s="101"/>
      <c r="C89" s="120"/>
      <c r="D89" s="101"/>
      <c r="E89" s="121"/>
      <c r="F89" s="121"/>
      <c r="G89" s="121"/>
      <c r="H89" s="122"/>
      <c r="I89" s="122"/>
      <c r="J89" s="122"/>
      <c r="K89" s="123"/>
    </row>
    <row r="90" spans="1:18" ht="18" customHeight="1">
      <c r="A90" s="306" t="s">
        <v>59</v>
      </c>
      <c r="B90" s="306"/>
      <c r="C90" s="306"/>
      <c r="D90" s="306"/>
      <c r="E90" s="306"/>
      <c r="F90" s="306"/>
      <c r="G90" s="306"/>
      <c r="H90" s="306"/>
      <c r="I90" s="306"/>
      <c r="J90" s="306"/>
      <c r="L90" s="307" t="s">
        <v>71</v>
      </c>
      <c r="M90" s="308"/>
      <c r="N90" s="308"/>
      <c r="O90" s="308"/>
      <c r="P90" s="308"/>
      <c r="Q90" s="308"/>
      <c r="R90" s="309"/>
    </row>
    <row r="91" spans="1:18" ht="18" customHeight="1" thickBot="1">
      <c r="A91" s="124"/>
      <c r="B91" s="100"/>
      <c r="C91" s="101"/>
      <c r="D91" s="101"/>
      <c r="E91" s="125"/>
      <c r="F91" s="125"/>
      <c r="G91" s="125"/>
      <c r="H91" s="125"/>
      <c r="I91" s="125"/>
      <c r="J91" s="125"/>
      <c r="L91" s="33"/>
      <c r="N91" s="34"/>
      <c r="O91" s="144"/>
      <c r="P91" s="12"/>
      <c r="Q91" s="12"/>
      <c r="R91" s="145"/>
    </row>
    <row r="92" spans="1:18" ht="22.5" customHeight="1">
      <c r="A92" s="326" t="s">
        <v>21</v>
      </c>
      <c r="B92" s="327"/>
      <c r="C92" s="327"/>
      <c r="D92" s="327"/>
      <c r="E92" s="304"/>
      <c r="F92" s="304"/>
      <c r="G92" s="304"/>
      <c r="H92" s="304"/>
      <c r="I92" s="304"/>
      <c r="J92" s="304"/>
      <c r="K92" s="35"/>
      <c r="L92" s="36" t="s">
        <v>22</v>
      </c>
      <c r="M92" s="165"/>
      <c r="N92" s="38" t="s">
        <v>23</v>
      </c>
      <c r="O92" s="39" t="s">
        <v>24</v>
      </c>
      <c r="P92" s="12"/>
      <c r="Q92" s="146" t="s">
        <v>68</v>
      </c>
      <c r="R92" s="147" t="s">
        <v>24</v>
      </c>
    </row>
    <row r="93" spans="1:18" ht="22.5" customHeight="1">
      <c r="A93" s="328" t="s">
        <v>25</v>
      </c>
      <c r="B93" s="330" t="s">
        <v>26</v>
      </c>
      <c r="C93" s="332" t="s">
        <v>27</v>
      </c>
      <c r="D93" s="332" t="s">
        <v>28</v>
      </c>
      <c r="E93" s="140" t="s">
        <v>29</v>
      </c>
      <c r="F93" s="140" t="s">
        <v>30</v>
      </c>
      <c r="G93" s="140" t="s">
        <v>31</v>
      </c>
      <c r="H93" s="141" t="s">
        <v>32</v>
      </c>
      <c r="I93" s="141" t="s">
        <v>33</v>
      </c>
      <c r="J93" s="141" t="s">
        <v>34</v>
      </c>
      <c r="K93" s="35"/>
      <c r="L93" s="296" t="s">
        <v>35</v>
      </c>
      <c r="M93" s="166"/>
      <c r="N93" s="298" t="s">
        <v>36</v>
      </c>
      <c r="O93" s="300" t="s">
        <v>35</v>
      </c>
      <c r="P93" s="12"/>
      <c r="Q93" s="302" t="s">
        <v>69</v>
      </c>
      <c r="R93" s="294" t="s">
        <v>70</v>
      </c>
    </row>
    <row r="94" spans="1:18" ht="22.5" customHeight="1" outlineLevel="1" thickBot="1">
      <c r="A94" s="329"/>
      <c r="B94" s="331"/>
      <c r="C94" s="331"/>
      <c r="D94" s="331"/>
      <c r="E94" s="126" t="s">
        <v>37</v>
      </c>
      <c r="F94" s="126" t="s">
        <v>37</v>
      </c>
      <c r="G94" s="126" t="s">
        <v>37</v>
      </c>
      <c r="H94" s="126" t="s">
        <v>37</v>
      </c>
      <c r="I94" s="126" t="s">
        <v>37</v>
      </c>
      <c r="J94" s="127" t="s">
        <v>37</v>
      </c>
      <c r="K94" s="35"/>
      <c r="L94" s="297"/>
      <c r="N94" s="299"/>
      <c r="O94" s="301"/>
      <c r="P94" s="12"/>
      <c r="Q94" s="303"/>
      <c r="R94" s="295"/>
    </row>
    <row r="95" spans="1:18" ht="16.5" customHeight="1">
      <c r="A95" s="323" t="s">
        <v>60</v>
      </c>
      <c r="B95" s="87"/>
      <c r="C95" s="45">
        <v>2</v>
      </c>
      <c r="D95" s="46" t="s">
        <v>39</v>
      </c>
      <c r="E95" s="169">
        <v>5646</v>
      </c>
      <c r="F95" s="169">
        <v>5736</v>
      </c>
      <c r="G95" s="169">
        <v>5850</v>
      </c>
      <c r="H95" s="170">
        <v>5970</v>
      </c>
      <c r="I95" s="170">
        <v>6144</v>
      </c>
      <c r="J95" s="170">
        <v>6438</v>
      </c>
      <c r="K95" s="128"/>
      <c r="L95" s="50">
        <v>33</v>
      </c>
      <c r="M95" s="17"/>
      <c r="N95" s="52">
        <f>1000/L95</f>
        <v>30.303030303030305</v>
      </c>
      <c r="O95" s="53">
        <f>J95*L95/1000</f>
        <v>212.454</v>
      </c>
      <c r="P95" s="17"/>
      <c r="Q95" s="52"/>
      <c r="R95" s="150"/>
    </row>
    <row r="96" spans="1:18" ht="16.5" customHeight="1">
      <c r="A96" s="324"/>
      <c r="B96" s="54"/>
      <c r="C96" s="64">
        <v>2</v>
      </c>
      <c r="D96" s="56" t="s">
        <v>40</v>
      </c>
      <c r="E96" s="129">
        <v>5646</v>
      </c>
      <c r="F96" s="129">
        <v>5736</v>
      </c>
      <c r="G96" s="129">
        <v>5850</v>
      </c>
      <c r="H96" s="130">
        <v>5970</v>
      </c>
      <c r="I96" s="130">
        <v>6144</v>
      </c>
      <c r="J96" s="130">
        <v>6438</v>
      </c>
      <c r="K96" s="128"/>
      <c r="L96" s="60">
        <v>51.5</v>
      </c>
      <c r="M96" s="17"/>
      <c r="N96" s="61">
        <f>1000/L96</f>
        <v>19.41747572815534</v>
      </c>
      <c r="O96" s="62">
        <f>J96*L96/1000</f>
        <v>331.557</v>
      </c>
      <c r="P96" s="17"/>
      <c r="Q96" s="61"/>
      <c r="R96" s="151"/>
    </row>
    <row r="97" spans="1:18" ht="16.5" customHeight="1">
      <c r="A97" s="324"/>
      <c r="B97" s="54"/>
      <c r="C97" s="64">
        <v>3</v>
      </c>
      <c r="D97" s="56" t="s">
        <v>41</v>
      </c>
      <c r="E97" s="129">
        <v>5646</v>
      </c>
      <c r="F97" s="129">
        <v>5736</v>
      </c>
      <c r="G97" s="129">
        <v>5850</v>
      </c>
      <c r="H97" s="130">
        <v>5970</v>
      </c>
      <c r="I97" s="130">
        <v>6144</v>
      </c>
      <c r="J97" s="130">
        <v>6438</v>
      </c>
      <c r="K97" s="128"/>
      <c r="L97" s="60">
        <v>50</v>
      </c>
      <c r="M97" s="17"/>
      <c r="N97" s="61">
        <f>1000/L97</f>
        <v>20</v>
      </c>
      <c r="O97" s="62">
        <f>J97*L97/1000</f>
        <v>321.9</v>
      </c>
      <c r="P97" s="17"/>
      <c r="Q97" s="61"/>
      <c r="R97" s="151"/>
    </row>
    <row r="98" spans="1:18" ht="16.5" customHeight="1" thickBot="1">
      <c r="A98" s="325"/>
      <c r="B98" s="65"/>
      <c r="C98" s="66">
        <v>3</v>
      </c>
      <c r="D98" s="67" t="s">
        <v>42</v>
      </c>
      <c r="E98" s="131">
        <v>5646</v>
      </c>
      <c r="F98" s="131">
        <v>5736</v>
      </c>
      <c r="G98" s="131">
        <v>5850</v>
      </c>
      <c r="H98" s="132">
        <v>5970</v>
      </c>
      <c r="I98" s="132">
        <v>6144</v>
      </c>
      <c r="J98" s="132">
        <v>6438</v>
      </c>
      <c r="K98" s="128"/>
      <c r="L98" s="71">
        <v>75</v>
      </c>
      <c r="M98" s="17"/>
      <c r="N98" s="72">
        <f>1000/L98</f>
        <v>13.333333333333334</v>
      </c>
      <c r="O98" s="73">
        <f>J98*L98/1000</f>
        <v>482.85</v>
      </c>
      <c r="P98" s="17"/>
      <c r="Q98" s="72"/>
      <c r="R98" s="152"/>
    </row>
    <row r="99" spans="1:18" ht="12" customHeight="1" thickBot="1">
      <c r="A99" s="74"/>
      <c r="B99" s="75"/>
      <c r="C99" s="76"/>
      <c r="D99" s="77"/>
      <c r="E99" s="133"/>
      <c r="F99" s="133"/>
      <c r="G99" s="133"/>
      <c r="H99" s="134"/>
      <c r="I99" s="134"/>
      <c r="J99" s="134"/>
      <c r="K99" s="94"/>
      <c r="L99" s="153"/>
      <c r="M99" s="17"/>
      <c r="N99" s="81"/>
      <c r="O99" s="82"/>
      <c r="P99" s="17"/>
      <c r="Q99" s="81"/>
      <c r="R99" s="154"/>
    </row>
    <row r="100" spans="1:18" ht="16.5" customHeight="1">
      <c r="A100" s="149" t="s">
        <v>61</v>
      </c>
      <c r="B100" s="83"/>
      <c r="C100" s="84">
        <v>3</v>
      </c>
      <c r="D100" s="46" t="s">
        <v>62</v>
      </c>
      <c r="E100" s="104">
        <v>6660</v>
      </c>
      <c r="F100" s="104">
        <v>6756</v>
      </c>
      <c r="G100" s="104">
        <v>6894</v>
      </c>
      <c r="H100" s="47">
        <v>7032</v>
      </c>
      <c r="I100" s="47">
        <v>7230</v>
      </c>
      <c r="J100" s="47">
        <v>7572</v>
      </c>
      <c r="K100" s="49"/>
      <c r="L100" s="155"/>
      <c r="M100" s="167"/>
      <c r="N100" s="52"/>
      <c r="O100" s="53"/>
      <c r="P100" s="167"/>
      <c r="Q100" s="52"/>
      <c r="R100" s="150"/>
    </row>
    <row r="101" spans="1:18" ht="16.5" customHeight="1">
      <c r="A101" s="321"/>
      <c r="B101" s="63"/>
      <c r="C101" s="64">
        <v>4</v>
      </c>
      <c r="D101" s="56" t="s">
        <v>62</v>
      </c>
      <c r="E101" s="57">
        <v>6660</v>
      </c>
      <c r="F101" s="57">
        <v>6756</v>
      </c>
      <c r="G101" s="57">
        <v>6894</v>
      </c>
      <c r="H101" s="58">
        <v>7032</v>
      </c>
      <c r="I101" s="58">
        <v>7230</v>
      </c>
      <c r="J101" s="58">
        <v>7572</v>
      </c>
      <c r="K101" s="49"/>
      <c r="L101" s="156"/>
      <c r="M101" s="167"/>
      <c r="N101" s="61"/>
      <c r="O101" s="62"/>
      <c r="P101" s="167"/>
      <c r="Q101" s="61"/>
      <c r="R101" s="151"/>
    </row>
    <row r="102" spans="1:18" ht="16.5" customHeight="1" thickBot="1">
      <c r="A102" s="322"/>
      <c r="B102" s="86"/>
      <c r="C102" s="66">
        <v>5</v>
      </c>
      <c r="D102" s="67" t="s">
        <v>62</v>
      </c>
      <c r="E102" s="68">
        <v>6660</v>
      </c>
      <c r="F102" s="68">
        <v>6756</v>
      </c>
      <c r="G102" s="68">
        <v>6894</v>
      </c>
      <c r="H102" s="69">
        <v>7032</v>
      </c>
      <c r="I102" s="69">
        <v>7230</v>
      </c>
      <c r="J102" s="69">
        <v>7572</v>
      </c>
      <c r="K102" s="49"/>
      <c r="L102" s="157"/>
      <c r="M102" s="167"/>
      <c r="N102" s="72"/>
      <c r="O102" s="73"/>
      <c r="P102" s="167"/>
      <c r="Q102" s="72"/>
      <c r="R102" s="152"/>
    </row>
    <row r="103" spans="1:18" ht="12" customHeight="1" thickBot="1">
      <c r="A103" s="74"/>
      <c r="B103" s="75"/>
      <c r="C103" s="76"/>
      <c r="D103" s="77"/>
      <c r="E103" s="78"/>
      <c r="F103" s="78"/>
      <c r="G103" s="78"/>
      <c r="H103" s="79"/>
      <c r="I103" s="79"/>
      <c r="J103" s="79"/>
      <c r="K103" s="94"/>
      <c r="L103" s="153"/>
      <c r="M103" s="17"/>
      <c r="N103" s="81"/>
      <c r="O103" s="82"/>
      <c r="P103" s="17"/>
      <c r="Q103" s="81"/>
      <c r="R103" s="154"/>
    </row>
    <row r="104" spans="1:18" ht="16.5" customHeight="1">
      <c r="A104" s="149" t="s">
        <v>63</v>
      </c>
      <c r="B104" s="83"/>
      <c r="C104" s="84">
        <v>4</v>
      </c>
      <c r="D104" s="46" t="s">
        <v>64</v>
      </c>
      <c r="E104" s="104">
        <v>6420</v>
      </c>
      <c r="F104" s="104">
        <v>6516</v>
      </c>
      <c r="G104" s="104">
        <v>6648</v>
      </c>
      <c r="H104" s="47">
        <v>6780</v>
      </c>
      <c r="I104" s="47">
        <v>6978</v>
      </c>
      <c r="J104" s="47">
        <v>7302</v>
      </c>
      <c r="K104" s="49"/>
      <c r="L104" s="50">
        <v>242.4</v>
      </c>
      <c r="M104" s="167"/>
      <c r="N104" s="52">
        <f>1000/L104</f>
        <v>4.125412541254125</v>
      </c>
      <c r="O104" s="53">
        <f>I104*L104/1000</f>
        <v>1691.4672</v>
      </c>
      <c r="P104" s="167"/>
      <c r="Q104" s="52"/>
      <c r="R104" s="150"/>
    </row>
    <row r="105" spans="1:18" ht="16.5" customHeight="1">
      <c r="A105" s="321"/>
      <c r="B105" s="63"/>
      <c r="C105" s="64">
        <v>5</v>
      </c>
      <c r="D105" s="56" t="s">
        <v>64</v>
      </c>
      <c r="E105" s="57">
        <v>6420</v>
      </c>
      <c r="F105" s="57">
        <v>6516</v>
      </c>
      <c r="G105" s="57">
        <v>6648</v>
      </c>
      <c r="H105" s="58">
        <v>6780</v>
      </c>
      <c r="I105" s="58">
        <v>6978</v>
      </c>
      <c r="J105" s="58">
        <v>7302</v>
      </c>
      <c r="K105" s="49"/>
      <c r="L105" s="60">
        <v>302.5</v>
      </c>
      <c r="M105" s="167"/>
      <c r="N105" s="61">
        <f>1000/L105</f>
        <v>3.3057851239669422</v>
      </c>
      <c r="O105" s="62">
        <f>I105*L105/1000</f>
        <v>2110.845</v>
      </c>
      <c r="P105" s="167"/>
      <c r="Q105" s="61"/>
      <c r="R105" s="151"/>
    </row>
    <row r="106" spans="1:18" ht="16.5" customHeight="1" thickBot="1">
      <c r="A106" s="322"/>
      <c r="B106" s="86"/>
      <c r="C106" s="66">
        <v>6</v>
      </c>
      <c r="D106" s="67" t="s">
        <v>64</v>
      </c>
      <c r="E106" s="68">
        <v>6420</v>
      </c>
      <c r="F106" s="68">
        <v>6516</v>
      </c>
      <c r="G106" s="68">
        <v>6648</v>
      </c>
      <c r="H106" s="69">
        <v>6780</v>
      </c>
      <c r="I106" s="69">
        <v>6978</v>
      </c>
      <c r="J106" s="69">
        <v>7302</v>
      </c>
      <c r="K106" s="49"/>
      <c r="L106" s="71">
        <v>363.6</v>
      </c>
      <c r="M106" s="167"/>
      <c r="N106" s="72">
        <f>1000/L106</f>
        <v>2.75027502750275</v>
      </c>
      <c r="O106" s="73">
        <f>I106*L106/1000</f>
        <v>2537.2008</v>
      </c>
      <c r="P106" s="167"/>
      <c r="Q106" s="72"/>
      <c r="R106" s="152"/>
    </row>
    <row r="107" spans="1:18" ht="12" customHeight="1" thickBot="1">
      <c r="A107" s="74"/>
      <c r="B107" s="75"/>
      <c r="C107" s="76"/>
      <c r="D107" s="77"/>
      <c r="E107" s="78"/>
      <c r="F107" s="78"/>
      <c r="G107" s="78"/>
      <c r="H107" s="79"/>
      <c r="I107" s="79"/>
      <c r="J107" s="79"/>
      <c r="K107" s="94"/>
      <c r="L107" s="80"/>
      <c r="M107" s="17"/>
      <c r="N107" s="81"/>
      <c r="O107" s="82"/>
      <c r="P107" s="17"/>
      <c r="Q107" s="81"/>
      <c r="R107" s="154"/>
    </row>
    <row r="108" spans="1:18" ht="16.5" customHeight="1">
      <c r="A108" s="149" t="s">
        <v>65</v>
      </c>
      <c r="B108" s="83"/>
      <c r="C108" s="135">
        <v>0.45</v>
      </c>
      <c r="D108" s="46" t="s">
        <v>39</v>
      </c>
      <c r="E108" s="104">
        <v>8760</v>
      </c>
      <c r="F108" s="104">
        <v>8892</v>
      </c>
      <c r="G108" s="104">
        <v>9072</v>
      </c>
      <c r="H108" s="47">
        <v>9252</v>
      </c>
      <c r="I108" s="47">
        <v>9516</v>
      </c>
      <c r="J108" s="47">
        <v>9960</v>
      </c>
      <c r="K108" s="49"/>
      <c r="L108" s="50">
        <v>7.2</v>
      </c>
      <c r="M108" s="167"/>
      <c r="N108" s="52">
        <f>1000/L108</f>
        <v>138.88888888888889</v>
      </c>
      <c r="O108" s="53">
        <f>J108*L108/1000</f>
        <v>71.712</v>
      </c>
      <c r="P108" s="167"/>
      <c r="Q108" s="52"/>
      <c r="R108" s="150"/>
    </row>
    <row r="109" spans="1:18" ht="16.5" customHeight="1">
      <c r="A109" s="321"/>
      <c r="B109" s="63"/>
      <c r="C109" s="64">
        <v>0.5</v>
      </c>
      <c r="D109" s="56" t="s">
        <v>39</v>
      </c>
      <c r="E109" s="57">
        <v>8460</v>
      </c>
      <c r="F109" s="57">
        <v>8586</v>
      </c>
      <c r="G109" s="57">
        <v>8760</v>
      </c>
      <c r="H109" s="58">
        <v>8934</v>
      </c>
      <c r="I109" s="58">
        <v>9192</v>
      </c>
      <c r="J109" s="58">
        <v>9618</v>
      </c>
      <c r="K109" s="49"/>
      <c r="L109" s="60">
        <v>8</v>
      </c>
      <c r="M109" s="167"/>
      <c r="N109" s="61">
        <f>1000/L109</f>
        <v>125</v>
      </c>
      <c r="O109" s="62">
        <f>J109*L109/1000</f>
        <v>76.944</v>
      </c>
      <c r="P109" s="167"/>
      <c r="Q109" s="61"/>
      <c r="R109" s="151"/>
    </row>
    <row r="110" spans="1:18" ht="16.5" customHeight="1">
      <c r="A110" s="321"/>
      <c r="B110" s="63"/>
      <c r="C110" s="136">
        <v>0.55</v>
      </c>
      <c r="D110" s="56" t="s">
        <v>39</v>
      </c>
      <c r="E110" s="57">
        <v>8400</v>
      </c>
      <c r="F110" s="57">
        <v>8526</v>
      </c>
      <c r="G110" s="57">
        <v>8700</v>
      </c>
      <c r="H110" s="58">
        <v>8868</v>
      </c>
      <c r="I110" s="58">
        <v>9126</v>
      </c>
      <c r="J110" s="58">
        <v>9552</v>
      </c>
      <c r="K110" s="49"/>
      <c r="L110" s="60">
        <v>8.8</v>
      </c>
      <c r="M110" s="167"/>
      <c r="N110" s="61">
        <f>1000/L110</f>
        <v>113.63636363636363</v>
      </c>
      <c r="O110" s="62">
        <f>J110*L110/1000</f>
        <v>84.05760000000001</v>
      </c>
      <c r="P110" s="167"/>
      <c r="Q110" s="61"/>
      <c r="R110" s="151"/>
    </row>
    <row r="111" spans="1:18" ht="16.5" customHeight="1" thickBot="1">
      <c r="A111" s="322"/>
      <c r="B111" s="86"/>
      <c r="C111" s="66">
        <v>0.7</v>
      </c>
      <c r="D111" s="67" t="s">
        <v>39</v>
      </c>
      <c r="E111" s="68">
        <v>8370</v>
      </c>
      <c r="F111" s="68">
        <v>8496</v>
      </c>
      <c r="G111" s="68">
        <v>8670</v>
      </c>
      <c r="H111" s="69">
        <v>8838</v>
      </c>
      <c r="I111" s="69">
        <v>9096</v>
      </c>
      <c r="J111" s="69">
        <v>9516</v>
      </c>
      <c r="K111" s="49"/>
      <c r="L111" s="71">
        <v>11.2</v>
      </c>
      <c r="M111" s="167"/>
      <c r="N111" s="72">
        <f>1000/L111</f>
        <v>89.28571428571429</v>
      </c>
      <c r="O111" s="73">
        <f>J111*L111/1000</f>
        <v>106.5792</v>
      </c>
      <c r="P111" s="167"/>
      <c r="Q111" s="72"/>
      <c r="R111" s="152"/>
    </row>
    <row r="112" spans="1:18" ht="12" customHeight="1" thickBot="1">
      <c r="A112" s="111"/>
      <c r="B112" s="112"/>
      <c r="C112" s="113"/>
      <c r="D112" s="114"/>
      <c r="E112" s="115"/>
      <c r="F112" s="115"/>
      <c r="G112" s="115"/>
      <c r="H112" s="116"/>
      <c r="I112" s="116"/>
      <c r="J112" s="116"/>
      <c r="K112" s="117"/>
      <c r="L112" s="162"/>
      <c r="M112" s="168"/>
      <c r="N112" s="118"/>
      <c r="O112" s="119"/>
      <c r="P112" s="168"/>
      <c r="Q112" s="118"/>
      <c r="R112" s="164"/>
    </row>
    <row r="113" spans="1:10" ht="6.75" customHeight="1">
      <c r="A113" s="137"/>
      <c r="B113" s="17"/>
      <c r="C113" s="18"/>
      <c r="D113" s="18"/>
      <c r="E113" s="13"/>
      <c r="F113" s="13"/>
      <c r="G113" s="13"/>
      <c r="H113" s="13"/>
      <c r="I113" s="13"/>
      <c r="J113" s="13"/>
    </row>
    <row r="114" spans="1:11" ht="18" customHeight="1">
      <c r="A114" s="138" t="s">
        <v>66</v>
      </c>
      <c r="B114" s="20"/>
      <c r="C114" s="20"/>
      <c r="D114" s="20"/>
      <c r="E114" s="13"/>
      <c r="F114" s="13"/>
      <c r="G114" s="13"/>
      <c r="H114" s="13"/>
      <c r="I114" s="13"/>
      <c r="J114" s="13"/>
      <c r="K114" s="7"/>
    </row>
    <row r="115" spans="1:11" ht="18" customHeight="1">
      <c r="A115" s="139" t="s">
        <v>67</v>
      </c>
      <c r="B115" s="17"/>
      <c r="C115" s="18"/>
      <c r="D115" s="18"/>
      <c r="E115" s="13"/>
      <c r="F115" s="13"/>
      <c r="G115" s="13"/>
      <c r="H115" s="13"/>
      <c r="I115" s="13"/>
      <c r="J115" s="13"/>
      <c r="K115" s="7"/>
    </row>
  </sheetData>
  <mergeCells count="56">
    <mergeCell ref="D17:D18"/>
    <mergeCell ref="A16:D16"/>
    <mergeCell ref="A35:A53"/>
    <mergeCell ref="A17:A18"/>
    <mergeCell ref="B17:B18"/>
    <mergeCell ref="C17:C18"/>
    <mergeCell ref="A67:A74"/>
    <mergeCell ref="A76:A82"/>
    <mergeCell ref="A64:D64"/>
    <mergeCell ref="A65:A66"/>
    <mergeCell ref="B65:B66"/>
    <mergeCell ref="C65:C66"/>
    <mergeCell ref="D65:D66"/>
    <mergeCell ref="A104:A106"/>
    <mergeCell ref="A108:A111"/>
    <mergeCell ref="E16:J16"/>
    <mergeCell ref="A95:A98"/>
    <mergeCell ref="A100:A102"/>
    <mergeCell ref="A92:D92"/>
    <mergeCell ref="A93:A94"/>
    <mergeCell ref="B93:B94"/>
    <mergeCell ref="C93:C94"/>
    <mergeCell ref="D93:D94"/>
    <mergeCell ref="O6:P6"/>
    <mergeCell ref="Q6:R6"/>
    <mergeCell ref="O11:P11"/>
    <mergeCell ref="Q11:R11"/>
    <mergeCell ref="O12:P12"/>
    <mergeCell ref="Q12:R12"/>
    <mergeCell ref="A14:J14"/>
    <mergeCell ref="L14:R14"/>
    <mergeCell ref="R17:R18"/>
    <mergeCell ref="A62:J62"/>
    <mergeCell ref="L62:R62"/>
    <mergeCell ref="E64:J64"/>
    <mergeCell ref="L17:L18"/>
    <mergeCell ref="N17:N18"/>
    <mergeCell ref="O17:O18"/>
    <mergeCell ref="Q17:Q18"/>
    <mergeCell ref="A55:A57"/>
    <mergeCell ref="A19:A33"/>
    <mergeCell ref="E92:J92"/>
    <mergeCell ref="R65:R66"/>
    <mergeCell ref="A88:R88"/>
    <mergeCell ref="A90:J90"/>
    <mergeCell ref="L90:R90"/>
    <mergeCell ref="L65:L66"/>
    <mergeCell ref="N65:N66"/>
    <mergeCell ref="O65:O66"/>
    <mergeCell ref="Q65:Q66"/>
    <mergeCell ref="A84:A85"/>
    <mergeCell ref="R93:R94"/>
    <mergeCell ref="L93:L94"/>
    <mergeCell ref="N93:N94"/>
    <mergeCell ref="O93:O94"/>
    <mergeCell ref="Q93:Q9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3"/>
  <sheetViews>
    <sheetView zoomScale="75" zoomScaleNormal="75" workbookViewId="0" topLeftCell="A1">
      <selection activeCell="A1" sqref="A1"/>
    </sheetView>
  </sheetViews>
  <sheetFormatPr defaultColWidth="9.140625" defaultRowHeight="12.75" outlineLevelRow="1" outlineLevelCol="1"/>
  <cols>
    <col min="1" max="1" width="18.7109375" style="0" customWidth="1"/>
    <col min="2" max="2" width="7.7109375" style="0" customWidth="1"/>
    <col min="3" max="3" width="16.7109375" style="0" customWidth="1"/>
    <col min="4" max="4" width="17.7109375" style="0" customWidth="1"/>
    <col min="5" max="5" width="15.7109375" style="11" customWidth="1"/>
    <col min="6" max="7" width="13.7109375" style="11" customWidth="1"/>
    <col min="8" max="10" width="14.7109375" style="11" customWidth="1"/>
    <col min="11" max="11" width="1.7109375" style="12" customWidth="1"/>
    <col min="12" max="13" width="9.7109375" style="28" customWidth="1"/>
    <col min="14" max="14" width="1.7109375" style="12" customWidth="1"/>
    <col min="15" max="15" width="9.140625" style="27" customWidth="1"/>
    <col min="16" max="17" width="10.7109375" style="28" customWidth="1"/>
    <col min="18" max="18" width="1.7109375" style="0" customWidth="1"/>
    <col min="19" max="19" width="10.421875" style="0" hidden="1" customWidth="1" outlineLevel="1"/>
    <col min="20" max="20" width="18.7109375" style="143" customWidth="1" collapsed="1"/>
  </cols>
  <sheetData>
    <row r="1" spans="1:20" ht="14.25" customHeight="1">
      <c r="A1" s="7"/>
      <c r="B1" s="7"/>
      <c r="C1" s="8"/>
      <c r="D1" s="8"/>
      <c r="E1" s="9"/>
      <c r="F1" s="9"/>
      <c r="G1" s="9"/>
      <c r="H1" s="9"/>
      <c r="I1" s="9"/>
      <c r="J1" s="10"/>
      <c r="P1" s="9" t="s">
        <v>11</v>
      </c>
      <c r="Q1" s="9"/>
      <c r="R1" s="10"/>
      <c r="S1" s="10"/>
      <c r="T1" s="10"/>
    </row>
    <row r="2" spans="1:20" ht="14.25" customHeight="1">
      <c r="A2" s="7"/>
      <c r="B2" s="7"/>
      <c r="C2" s="8"/>
      <c r="D2" s="8"/>
      <c r="E2" s="9"/>
      <c r="F2" s="9"/>
      <c r="G2" s="9"/>
      <c r="H2" s="9"/>
      <c r="I2" s="9"/>
      <c r="J2" s="10"/>
      <c r="P2" s="9" t="s">
        <v>12</v>
      </c>
      <c r="Q2" s="9"/>
      <c r="R2" s="10"/>
      <c r="S2" s="10"/>
      <c r="T2" s="10"/>
    </row>
    <row r="3" spans="1:20" ht="14.25" customHeight="1">
      <c r="A3" s="7"/>
      <c r="B3" s="7"/>
      <c r="C3" s="8"/>
      <c r="D3" s="8"/>
      <c r="E3" s="10"/>
      <c r="F3" s="10"/>
      <c r="G3" s="10"/>
      <c r="H3" s="10"/>
      <c r="I3" s="10"/>
      <c r="J3" s="10"/>
      <c r="P3" s="10" t="s">
        <v>13</v>
      </c>
      <c r="Q3" s="10"/>
      <c r="R3" s="13"/>
      <c r="S3" s="10"/>
      <c r="T3" s="13"/>
    </row>
    <row r="4" spans="1:20" ht="14.25" customHeight="1">
      <c r="A4" s="7"/>
      <c r="B4" s="7"/>
      <c r="C4" s="8"/>
      <c r="D4" s="8"/>
      <c r="E4" s="13"/>
      <c r="F4" s="13"/>
      <c r="G4" s="13"/>
      <c r="H4" s="14"/>
      <c r="I4" s="171"/>
      <c r="J4" s="7"/>
      <c r="P4" s="14" t="s">
        <v>14</v>
      </c>
      <c r="Q4" s="14"/>
      <c r="R4" s="13"/>
      <c r="S4" s="13"/>
      <c r="T4" s="13"/>
    </row>
    <row r="5" spans="1:20" ht="14.25" customHeight="1">
      <c r="A5" s="7"/>
      <c r="B5" s="7"/>
      <c r="C5" s="8"/>
      <c r="D5" s="8"/>
      <c r="E5" s="15"/>
      <c r="F5" s="15"/>
      <c r="G5" s="15"/>
      <c r="H5" s="13"/>
      <c r="I5" s="7"/>
      <c r="J5" s="7"/>
      <c r="P5" s="13"/>
      <c r="Q5" s="13"/>
      <c r="R5" s="13"/>
      <c r="S5" s="13"/>
      <c r="T5" s="13"/>
    </row>
    <row r="6" spans="1:20" ht="14.25" customHeight="1">
      <c r="A6" s="7"/>
      <c r="B6" s="7"/>
      <c r="C6" s="8"/>
      <c r="D6" s="8"/>
      <c r="E6" s="15"/>
      <c r="F6" s="15"/>
      <c r="G6" s="15"/>
      <c r="H6" s="10"/>
      <c r="I6" s="10"/>
      <c r="J6" s="10"/>
      <c r="P6" s="320"/>
      <c r="Q6" s="320"/>
      <c r="R6" s="320"/>
      <c r="S6" s="148" t="s">
        <v>15</v>
      </c>
      <c r="T6" s="148"/>
    </row>
    <row r="7" spans="1:10" ht="19.5" customHeight="1">
      <c r="A7" s="16" t="s">
        <v>16</v>
      </c>
      <c r="B7" s="17"/>
      <c r="C7" s="18"/>
      <c r="D7" s="18"/>
      <c r="E7" s="19"/>
      <c r="F7" s="19"/>
      <c r="G7" s="19"/>
      <c r="H7" s="19"/>
      <c r="I7" s="19"/>
      <c r="J7" s="19"/>
    </row>
    <row r="8" spans="1:10" ht="13.5" customHeight="1">
      <c r="A8" s="16"/>
      <c r="B8" s="17"/>
      <c r="C8" s="18"/>
      <c r="D8" s="18"/>
      <c r="E8" s="19"/>
      <c r="F8" s="19"/>
      <c r="G8" s="19"/>
      <c r="H8" s="19"/>
      <c r="I8" s="19"/>
      <c r="J8" s="19"/>
    </row>
    <row r="9" spans="1:10" ht="14.25" customHeight="1">
      <c r="A9" s="20" t="s">
        <v>17</v>
      </c>
      <c r="B9" s="20"/>
      <c r="C9" s="20"/>
      <c r="D9" s="20"/>
      <c r="E9" s="19"/>
      <c r="F9" s="19"/>
      <c r="G9" s="19"/>
      <c r="H9" s="19"/>
      <c r="I9" s="19"/>
      <c r="J9" s="19"/>
    </row>
    <row r="10" spans="1:19" ht="14.25" customHeight="1">
      <c r="A10" s="20" t="s">
        <v>18</v>
      </c>
      <c r="B10" s="20"/>
      <c r="C10" s="20"/>
      <c r="D10" s="20"/>
      <c r="E10" s="19"/>
      <c r="F10" s="19"/>
      <c r="G10" s="19"/>
      <c r="H10" s="19"/>
      <c r="I10" s="19"/>
      <c r="J10" s="19"/>
      <c r="O10" s="21"/>
      <c r="P10" s="21"/>
      <c r="Q10" s="24"/>
      <c r="R10" s="319"/>
      <c r="S10" s="319"/>
    </row>
    <row r="11" spans="1:21" ht="14.25" customHeight="1">
      <c r="A11" s="21"/>
      <c r="B11" s="17"/>
      <c r="C11" s="18"/>
      <c r="D11" s="18"/>
      <c r="E11" s="22"/>
      <c r="F11" s="22"/>
      <c r="G11" s="22"/>
      <c r="H11" s="24"/>
      <c r="I11" s="24"/>
      <c r="J11" s="23"/>
      <c r="O11" s="21"/>
      <c r="P11" s="318" t="s">
        <v>19</v>
      </c>
      <c r="Q11" s="318"/>
      <c r="R11" s="318"/>
      <c r="S11" s="318"/>
      <c r="T11" s="23">
        <v>41381</v>
      </c>
      <c r="U11" s="21"/>
    </row>
    <row r="12" spans="1:10" ht="13.5" customHeight="1" thickBot="1">
      <c r="A12" s="25"/>
      <c r="B12" s="25"/>
      <c r="C12" s="25"/>
      <c r="D12" s="25"/>
      <c r="E12" s="26"/>
      <c r="F12" s="26"/>
      <c r="G12" s="26"/>
      <c r="H12" s="26"/>
      <c r="I12" s="26"/>
      <c r="J12" s="26"/>
    </row>
    <row r="13" spans="1:20" ht="18" customHeight="1">
      <c r="A13" s="306" t="s">
        <v>72</v>
      </c>
      <c r="B13" s="306"/>
      <c r="C13" s="306"/>
      <c r="D13" s="306"/>
      <c r="E13" s="306"/>
      <c r="F13" s="306"/>
      <c r="G13" s="306"/>
      <c r="H13" s="306"/>
      <c r="I13" s="306"/>
      <c r="J13" s="306"/>
      <c r="L13" s="307" t="s">
        <v>71</v>
      </c>
      <c r="M13" s="308"/>
      <c r="N13" s="308"/>
      <c r="O13" s="308"/>
      <c r="P13" s="308"/>
      <c r="Q13" s="308"/>
      <c r="R13" s="308"/>
      <c r="S13" s="308"/>
      <c r="T13" s="309"/>
    </row>
    <row r="14" spans="1:20" ht="9.75" customHeight="1" thickBot="1">
      <c r="A14" s="29"/>
      <c r="B14" s="30"/>
      <c r="C14" s="31"/>
      <c r="D14" s="31"/>
      <c r="E14" s="32"/>
      <c r="F14" s="32"/>
      <c r="G14" s="32"/>
      <c r="H14" s="32"/>
      <c r="I14" s="32"/>
      <c r="J14" s="32"/>
      <c r="L14" s="33"/>
      <c r="M14" s="34"/>
      <c r="O14" s="34"/>
      <c r="P14" s="144"/>
      <c r="Q14" s="144"/>
      <c r="R14" s="12"/>
      <c r="S14" s="12"/>
      <c r="T14" s="145"/>
    </row>
    <row r="15" spans="1:20" ht="19.5" customHeight="1">
      <c r="A15" s="340" t="s">
        <v>73</v>
      </c>
      <c r="B15" s="341"/>
      <c r="C15" s="341"/>
      <c r="D15" s="341"/>
      <c r="E15" s="304"/>
      <c r="F15" s="304"/>
      <c r="G15" s="304"/>
      <c r="H15" s="304"/>
      <c r="I15" s="304"/>
      <c r="J15" s="304"/>
      <c r="K15" s="35"/>
      <c r="L15" s="358" t="s">
        <v>22</v>
      </c>
      <c r="M15" s="359"/>
      <c r="N15" s="165"/>
      <c r="O15" s="38" t="s">
        <v>23</v>
      </c>
      <c r="P15" s="360" t="s">
        <v>24</v>
      </c>
      <c r="Q15" s="361"/>
      <c r="R15" s="12"/>
      <c r="S15" s="146" t="s">
        <v>68</v>
      </c>
      <c r="T15" s="147" t="s">
        <v>24</v>
      </c>
    </row>
    <row r="16" spans="1:20" ht="19.5" customHeight="1">
      <c r="A16" s="342" t="s">
        <v>25</v>
      </c>
      <c r="B16" s="344" t="s">
        <v>74</v>
      </c>
      <c r="C16" s="344" t="s">
        <v>75</v>
      </c>
      <c r="D16" s="344" t="s">
        <v>76</v>
      </c>
      <c r="E16" s="140" t="s">
        <v>29</v>
      </c>
      <c r="F16" s="140" t="s">
        <v>30</v>
      </c>
      <c r="G16" s="140" t="s">
        <v>31</v>
      </c>
      <c r="H16" s="140" t="s">
        <v>32</v>
      </c>
      <c r="I16" s="140" t="s">
        <v>33</v>
      </c>
      <c r="J16" s="140" t="s">
        <v>34</v>
      </c>
      <c r="K16" s="35"/>
      <c r="L16" s="298" t="s">
        <v>77</v>
      </c>
      <c r="M16" s="353" t="s">
        <v>35</v>
      </c>
      <c r="N16" s="166"/>
      <c r="O16" s="315" t="s">
        <v>78</v>
      </c>
      <c r="P16" s="355" t="s">
        <v>77</v>
      </c>
      <c r="Q16" s="312" t="s">
        <v>35</v>
      </c>
      <c r="R16" s="12"/>
      <c r="S16" s="351" t="s">
        <v>69</v>
      </c>
      <c r="T16" s="294" t="s">
        <v>70</v>
      </c>
    </row>
    <row r="17" spans="1:20" ht="22.5" customHeight="1" outlineLevel="1" thickBot="1">
      <c r="A17" s="343"/>
      <c r="B17" s="345"/>
      <c r="C17" s="345"/>
      <c r="D17" s="345"/>
      <c r="E17" s="41" t="s">
        <v>37</v>
      </c>
      <c r="F17" s="41" t="s">
        <v>37</v>
      </c>
      <c r="G17" s="41" t="s">
        <v>37</v>
      </c>
      <c r="H17" s="41" t="s">
        <v>37</v>
      </c>
      <c r="I17" s="41" t="s">
        <v>37</v>
      </c>
      <c r="J17" s="42" t="s">
        <v>37</v>
      </c>
      <c r="K17" s="35"/>
      <c r="L17" s="299"/>
      <c r="M17" s="354"/>
      <c r="O17" s="316"/>
      <c r="P17" s="356"/>
      <c r="Q17" s="357"/>
      <c r="R17" s="12"/>
      <c r="S17" s="352"/>
      <c r="T17" s="314"/>
    </row>
    <row r="18" spans="1:20" ht="16.5" customHeight="1">
      <c r="A18" s="323" t="s">
        <v>79</v>
      </c>
      <c r="B18" s="44"/>
      <c r="C18" s="45" t="s">
        <v>80</v>
      </c>
      <c r="D18" s="46" t="s">
        <v>81</v>
      </c>
      <c r="E18" s="104">
        <v>6480</v>
      </c>
      <c r="F18" s="104">
        <v>6534</v>
      </c>
      <c r="G18" s="104">
        <v>6660</v>
      </c>
      <c r="H18" s="47">
        <v>6798</v>
      </c>
      <c r="I18" s="47">
        <v>6996</v>
      </c>
      <c r="J18" s="48">
        <v>7326</v>
      </c>
      <c r="K18" s="49"/>
      <c r="L18" s="172">
        <v>2.45</v>
      </c>
      <c r="M18" s="173">
        <f>L18*12</f>
        <v>29.400000000000002</v>
      </c>
      <c r="N18" s="174"/>
      <c r="O18" s="175">
        <f aca="true" t="shared" si="0" ref="O18:O23">1000/L18</f>
        <v>408.1632653061224</v>
      </c>
      <c r="P18" s="176">
        <f aca="true" t="shared" si="1" ref="P18:P27">J18*L18/1000</f>
        <v>17.948700000000002</v>
      </c>
      <c r="Q18" s="177">
        <f aca="true" t="shared" si="2" ref="Q18:Q27">J18*M18/1000</f>
        <v>215.38440000000003</v>
      </c>
      <c r="R18" s="178"/>
      <c r="S18" s="175">
        <f>40*4+36*4</f>
        <v>304</v>
      </c>
      <c r="T18" s="179">
        <f>S18*0.006</f>
        <v>1.824</v>
      </c>
    </row>
    <row r="19" spans="1:20" ht="16.5" customHeight="1">
      <c r="A19" s="324"/>
      <c r="B19" s="105"/>
      <c r="C19" s="55" t="s">
        <v>82</v>
      </c>
      <c r="D19" s="56" t="s">
        <v>81</v>
      </c>
      <c r="E19" s="57">
        <v>6480</v>
      </c>
      <c r="F19" s="57">
        <v>6534</v>
      </c>
      <c r="G19" s="57">
        <v>6660</v>
      </c>
      <c r="H19" s="58">
        <v>6798</v>
      </c>
      <c r="I19" s="58">
        <v>6996</v>
      </c>
      <c r="J19" s="59">
        <v>7326</v>
      </c>
      <c r="K19" s="49"/>
      <c r="L19" s="180">
        <v>3</v>
      </c>
      <c r="M19" s="181">
        <f aca="true" t="shared" si="3" ref="M19:M27">L19*12</f>
        <v>36</v>
      </c>
      <c r="N19" s="174"/>
      <c r="O19" s="182">
        <f t="shared" si="0"/>
        <v>333.3333333333333</v>
      </c>
      <c r="P19" s="183">
        <f t="shared" si="1"/>
        <v>21.978</v>
      </c>
      <c r="Q19" s="184">
        <f t="shared" si="2"/>
        <v>263.736</v>
      </c>
      <c r="R19" s="178"/>
      <c r="S19" s="182">
        <f>40*5+35*5</f>
        <v>375</v>
      </c>
      <c r="T19" s="185">
        <f aca="true" t="shared" si="4" ref="T19:T27">S19*0.006</f>
        <v>2.25</v>
      </c>
    </row>
    <row r="20" spans="1:20" ht="16.5" customHeight="1">
      <c r="A20" s="324"/>
      <c r="B20" s="54"/>
      <c r="C20" s="55" t="s">
        <v>83</v>
      </c>
      <c r="D20" s="56" t="s">
        <v>81</v>
      </c>
      <c r="E20" s="57">
        <v>6480</v>
      </c>
      <c r="F20" s="57">
        <v>6534</v>
      </c>
      <c r="G20" s="57">
        <v>6660</v>
      </c>
      <c r="H20" s="57">
        <v>6798</v>
      </c>
      <c r="I20" s="57">
        <v>6996</v>
      </c>
      <c r="J20" s="106">
        <v>7326</v>
      </c>
      <c r="K20" s="49"/>
      <c r="L20" s="180">
        <v>2.75</v>
      </c>
      <c r="M20" s="181">
        <f t="shared" si="3"/>
        <v>33</v>
      </c>
      <c r="N20" s="174"/>
      <c r="O20" s="182">
        <f t="shared" si="0"/>
        <v>363.6363636363636</v>
      </c>
      <c r="P20" s="183">
        <f t="shared" si="1"/>
        <v>20.1465</v>
      </c>
      <c r="Q20" s="184">
        <f t="shared" si="2"/>
        <v>241.758</v>
      </c>
      <c r="R20" s="178"/>
      <c r="S20" s="182">
        <f>45*4+31*4</f>
        <v>304</v>
      </c>
      <c r="T20" s="185">
        <f t="shared" si="4"/>
        <v>1.824</v>
      </c>
    </row>
    <row r="21" spans="1:20" ht="16.5" customHeight="1">
      <c r="A21" s="324"/>
      <c r="B21" s="54"/>
      <c r="C21" s="55" t="s">
        <v>84</v>
      </c>
      <c r="D21" s="56" t="s">
        <v>81</v>
      </c>
      <c r="E21" s="57">
        <v>6480</v>
      </c>
      <c r="F21" s="57">
        <v>6534</v>
      </c>
      <c r="G21" s="57">
        <v>6660</v>
      </c>
      <c r="H21" s="57">
        <v>6798</v>
      </c>
      <c r="I21" s="57">
        <v>6996</v>
      </c>
      <c r="J21" s="106">
        <v>7326</v>
      </c>
      <c r="K21" s="49"/>
      <c r="L21" s="180">
        <v>3.4</v>
      </c>
      <c r="M21" s="181">
        <f t="shared" si="3"/>
        <v>40.8</v>
      </c>
      <c r="N21" s="174"/>
      <c r="O21" s="182">
        <f t="shared" si="0"/>
        <v>294.11764705882354</v>
      </c>
      <c r="P21" s="183">
        <f t="shared" si="1"/>
        <v>24.908399999999997</v>
      </c>
      <c r="Q21" s="184">
        <f t="shared" si="2"/>
        <v>298.9008</v>
      </c>
      <c r="R21" s="178"/>
      <c r="S21" s="182">
        <f>45*5+40*5</f>
        <v>425</v>
      </c>
      <c r="T21" s="185">
        <f t="shared" si="4"/>
        <v>2.5500000000000003</v>
      </c>
    </row>
    <row r="22" spans="1:20" ht="16.5" customHeight="1">
      <c r="A22" s="324"/>
      <c r="B22" s="54"/>
      <c r="C22" s="55" t="s">
        <v>85</v>
      </c>
      <c r="D22" s="56" t="s">
        <v>81</v>
      </c>
      <c r="E22" s="57">
        <v>6480</v>
      </c>
      <c r="F22" s="57">
        <v>6534</v>
      </c>
      <c r="G22" s="57">
        <v>6660</v>
      </c>
      <c r="H22" s="57">
        <v>6798</v>
      </c>
      <c r="I22" s="57">
        <v>6996</v>
      </c>
      <c r="J22" s="106">
        <v>7326</v>
      </c>
      <c r="K22" s="49"/>
      <c r="L22" s="180">
        <v>3.1</v>
      </c>
      <c r="M22" s="181">
        <f t="shared" si="3"/>
        <v>37.2</v>
      </c>
      <c r="N22" s="174"/>
      <c r="O22" s="182">
        <f t="shared" si="0"/>
        <v>322.5806451612903</v>
      </c>
      <c r="P22" s="183">
        <f t="shared" si="1"/>
        <v>22.710600000000003</v>
      </c>
      <c r="Q22" s="184">
        <f t="shared" si="2"/>
        <v>272.5272</v>
      </c>
      <c r="R22" s="12"/>
      <c r="S22" s="182">
        <f>50*4+46*4</f>
        <v>384</v>
      </c>
      <c r="T22" s="185">
        <f t="shared" si="4"/>
        <v>2.3040000000000003</v>
      </c>
    </row>
    <row r="23" spans="1:20" ht="16.5" customHeight="1">
      <c r="A23" s="324"/>
      <c r="B23" s="54"/>
      <c r="C23" s="55" t="s">
        <v>86</v>
      </c>
      <c r="D23" s="56" t="s">
        <v>81</v>
      </c>
      <c r="E23" s="57">
        <v>6480</v>
      </c>
      <c r="F23" s="57">
        <v>6534</v>
      </c>
      <c r="G23" s="57">
        <v>6660</v>
      </c>
      <c r="H23" s="58">
        <v>6798</v>
      </c>
      <c r="I23" s="58">
        <v>6996</v>
      </c>
      <c r="J23" s="59">
        <v>7326</v>
      </c>
      <c r="K23" s="49"/>
      <c r="L23" s="180">
        <v>3.8</v>
      </c>
      <c r="M23" s="181">
        <f t="shared" si="3"/>
        <v>45.599999999999994</v>
      </c>
      <c r="N23" s="174"/>
      <c r="O23" s="182">
        <f t="shared" si="0"/>
        <v>263.15789473684214</v>
      </c>
      <c r="P23" s="183">
        <f t="shared" si="1"/>
        <v>27.8388</v>
      </c>
      <c r="Q23" s="184">
        <f t="shared" si="2"/>
        <v>334.06559999999996</v>
      </c>
      <c r="R23" s="12"/>
      <c r="S23" s="182">
        <f>50*5+45*5</f>
        <v>475</v>
      </c>
      <c r="T23" s="185">
        <f t="shared" si="4"/>
        <v>2.85</v>
      </c>
    </row>
    <row r="24" spans="1:20" ht="16.5" customHeight="1">
      <c r="A24" s="324"/>
      <c r="B24" s="63"/>
      <c r="C24" s="55" t="s">
        <v>87</v>
      </c>
      <c r="D24" s="56" t="s">
        <v>81</v>
      </c>
      <c r="E24" s="57">
        <v>6906</v>
      </c>
      <c r="F24" s="57">
        <v>6960</v>
      </c>
      <c r="G24" s="57">
        <v>7086</v>
      </c>
      <c r="H24" s="58">
        <v>7230</v>
      </c>
      <c r="I24" s="58">
        <v>7440</v>
      </c>
      <c r="J24" s="59">
        <v>7794</v>
      </c>
      <c r="K24" s="49"/>
      <c r="L24" s="180">
        <v>4.82</v>
      </c>
      <c r="M24" s="181">
        <f t="shared" si="3"/>
        <v>57.84</v>
      </c>
      <c r="N24" s="174"/>
      <c r="O24" s="182">
        <f>1000/L24</f>
        <v>207.4688796680498</v>
      </c>
      <c r="P24" s="183">
        <f t="shared" si="1"/>
        <v>37.567080000000004</v>
      </c>
      <c r="Q24" s="184">
        <f t="shared" si="2"/>
        <v>450.80496</v>
      </c>
      <c r="R24" s="12"/>
      <c r="S24" s="182">
        <f>63*5+58*5</f>
        <v>605</v>
      </c>
      <c r="T24" s="185">
        <f t="shared" si="4"/>
        <v>3.63</v>
      </c>
    </row>
    <row r="25" spans="1:20" ht="16.5" customHeight="1">
      <c r="A25" s="324"/>
      <c r="B25" s="63"/>
      <c r="C25" s="55" t="s">
        <v>88</v>
      </c>
      <c r="D25" s="56" t="s">
        <v>81</v>
      </c>
      <c r="E25" s="57">
        <v>6906</v>
      </c>
      <c r="F25" s="57">
        <v>6960</v>
      </c>
      <c r="G25" s="57">
        <v>7086</v>
      </c>
      <c r="H25" s="57">
        <v>7230</v>
      </c>
      <c r="I25" s="57">
        <v>7440</v>
      </c>
      <c r="J25" s="106">
        <v>7794</v>
      </c>
      <c r="K25" s="49"/>
      <c r="L25" s="180">
        <v>5.72</v>
      </c>
      <c r="M25" s="181">
        <f t="shared" si="3"/>
        <v>68.64</v>
      </c>
      <c r="N25" s="174"/>
      <c r="O25" s="182">
        <f>1000/L25</f>
        <v>174.82517482517483</v>
      </c>
      <c r="P25" s="183">
        <f t="shared" si="1"/>
        <v>44.58168</v>
      </c>
      <c r="Q25" s="184">
        <f t="shared" si="2"/>
        <v>534.9801600000001</v>
      </c>
      <c r="R25" s="12"/>
      <c r="S25" s="182">
        <f>63*6+57*6</f>
        <v>720</v>
      </c>
      <c r="T25" s="185">
        <f t="shared" si="4"/>
        <v>4.32</v>
      </c>
    </row>
    <row r="26" spans="1:20" ht="16.5" customHeight="1">
      <c r="A26" s="324"/>
      <c r="B26" s="54"/>
      <c r="C26" s="64" t="s">
        <v>91</v>
      </c>
      <c r="D26" s="56" t="s">
        <v>81</v>
      </c>
      <c r="E26" s="57">
        <v>6810</v>
      </c>
      <c r="F26" s="57">
        <v>6858</v>
      </c>
      <c r="G26" s="57">
        <v>6990</v>
      </c>
      <c r="H26" s="57">
        <v>7128</v>
      </c>
      <c r="I26" s="57">
        <v>7338</v>
      </c>
      <c r="J26" s="106">
        <v>7686</v>
      </c>
      <c r="K26" s="49"/>
      <c r="L26" s="180">
        <v>5.8</v>
      </c>
      <c r="M26" s="181">
        <f t="shared" si="3"/>
        <v>69.6</v>
      </c>
      <c r="N26" s="174"/>
      <c r="O26" s="182">
        <f>1000/L26</f>
        <v>172.41379310344828</v>
      </c>
      <c r="P26" s="183">
        <f t="shared" si="1"/>
        <v>44.578799999999994</v>
      </c>
      <c r="Q26" s="184">
        <f t="shared" si="2"/>
        <v>534.9456</v>
      </c>
      <c r="R26" s="12"/>
      <c r="S26" s="182">
        <f>75*5+70*5</f>
        <v>725</v>
      </c>
      <c r="T26" s="185">
        <f t="shared" si="4"/>
        <v>4.3500000000000005</v>
      </c>
    </row>
    <row r="27" spans="1:20" ht="16.5" customHeight="1" thickBot="1">
      <c r="A27" s="325"/>
      <c r="B27" s="65"/>
      <c r="C27" s="66" t="s">
        <v>92</v>
      </c>
      <c r="D27" s="67" t="s">
        <v>81</v>
      </c>
      <c r="E27" s="68">
        <v>6810</v>
      </c>
      <c r="F27" s="68">
        <v>6858</v>
      </c>
      <c r="G27" s="68">
        <v>6990</v>
      </c>
      <c r="H27" s="68">
        <v>7128</v>
      </c>
      <c r="I27" s="68">
        <v>7338</v>
      </c>
      <c r="J27" s="108">
        <v>7686</v>
      </c>
      <c r="K27" s="49"/>
      <c r="L27" s="186">
        <v>6.9</v>
      </c>
      <c r="M27" s="187">
        <f t="shared" si="3"/>
        <v>82.80000000000001</v>
      </c>
      <c r="N27" s="174"/>
      <c r="O27" s="188">
        <f>1000/L27</f>
        <v>144.92753623188406</v>
      </c>
      <c r="P27" s="189">
        <f t="shared" si="1"/>
        <v>53.0334</v>
      </c>
      <c r="Q27" s="190">
        <f t="shared" si="2"/>
        <v>636.4008</v>
      </c>
      <c r="R27" s="12"/>
      <c r="S27" s="182">
        <f>75*6+69*6</f>
        <v>864</v>
      </c>
      <c r="T27" s="191">
        <f t="shared" si="4"/>
        <v>5.184</v>
      </c>
    </row>
    <row r="28" spans="1:20" ht="12" customHeight="1" thickBot="1">
      <c r="A28" s="74"/>
      <c r="B28" s="75"/>
      <c r="C28" s="76"/>
      <c r="D28" s="77"/>
      <c r="E28" s="78"/>
      <c r="F28" s="78"/>
      <c r="G28" s="78"/>
      <c r="H28" s="79"/>
      <c r="I28" s="79"/>
      <c r="J28" s="79"/>
      <c r="K28" s="49"/>
      <c r="L28" s="192"/>
      <c r="M28" s="193"/>
      <c r="N28" s="174"/>
      <c r="O28" s="194"/>
      <c r="P28" s="195"/>
      <c r="Q28" s="196"/>
      <c r="R28" s="12"/>
      <c r="S28" s="194"/>
      <c r="T28" s="197"/>
    </row>
    <row r="29" spans="1:20" ht="16.5" customHeight="1">
      <c r="A29" s="323" t="s">
        <v>101</v>
      </c>
      <c r="B29" s="83"/>
      <c r="C29" s="84" t="s">
        <v>80</v>
      </c>
      <c r="D29" s="46" t="s">
        <v>102</v>
      </c>
      <c r="E29" s="104">
        <v>5700</v>
      </c>
      <c r="F29" s="104">
        <v>5754</v>
      </c>
      <c r="G29" s="104">
        <v>5880</v>
      </c>
      <c r="H29" s="47">
        <v>6000</v>
      </c>
      <c r="I29" s="47">
        <v>6174</v>
      </c>
      <c r="J29" s="48">
        <v>6468</v>
      </c>
      <c r="K29" s="49"/>
      <c r="L29" s="172">
        <v>2.4</v>
      </c>
      <c r="M29" s="173"/>
      <c r="N29" s="174"/>
      <c r="O29" s="175">
        <f>1000/L29</f>
        <v>416.6666666666667</v>
      </c>
      <c r="P29" s="176">
        <f aca="true" t="shared" si="5" ref="P29:P48">J29*L29/1000</f>
        <v>15.5232</v>
      </c>
      <c r="Q29" s="177"/>
      <c r="R29" s="12"/>
      <c r="S29" s="175">
        <f>40*4+36*4</f>
        <v>304</v>
      </c>
      <c r="T29" s="179">
        <f aca="true" t="shared" si="6" ref="T29:T48">S29*0.006</f>
        <v>1.824</v>
      </c>
    </row>
    <row r="30" spans="1:20" ht="16.5" customHeight="1">
      <c r="A30" s="324"/>
      <c r="B30" s="54"/>
      <c r="C30" s="64" t="s">
        <v>83</v>
      </c>
      <c r="D30" s="56" t="s">
        <v>102</v>
      </c>
      <c r="E30" s="57">
        <v>5700</v>
      </c>
      <c r="F30" s="57">
        <v>5754</v>
      </c>
      <c r="G30" s="57">
        <v>5880</v>
      </c>
      <c r="H30" s="57">
        <v>6000</v>
      </c>
      <c r="I30" s="57">
        <v>6174</v>
      </c>
      <c r="J30" s="106">
        <v>6468</v>
      </c>
      <c r="K30" s="49"/>
      <c r="L30" s="180">
        <v>2.75</v>
      </c>
      <c r="M30" s="181"/>
      <c r="N30" s="174"/>
      <c r="O30" s="182">
        <f aca="true" t="shared" si="7" ref="O30:O46">1000/L30</f>
        <v>363.6363636363636</v>
      </c>
      <c r="P30" s="183">
        <f t="shared" si="5"/>
        <v>17.787</v>
      </c>
      <c r="Q30" s="184"/>
      <c r="R30" s="12"/>
      <c r="S30" s="182">
        <f>45*4+41*4</f>
        <v>344</v>
      </c>
      <c r="T30" s="185">
        <f t="shared" si="6"/>
        <v>2.064</v>
      </c>
    </row>
    <row r="31" spans="1:20" ht="16.5" customHeight="1">
      <c r="A31" s="324"/>
      <c r="B31" s="54"/>
      <c r="C31" s="64" t="s">
        <v>84</v>
      </c>
      <c r="D31" s="56" t="s">
        <v>102</v>
      </c>
      <c r="E31" s="57">
        <v>5700</v>
      </c>
      <c r="F31" s="57">
        <v>5754</v>
      </c>
      <c r="G31" s="57">
        <v>5880</v>
      </c>
      <c r="H31" s="58">
        <v>6000</v>
      </c>
      <c r="I31" s="58">
        <v>6174</v>
      </c>
      <c r="J31" s="59">
        <v>6468</v>
      </c>
      <c r="K31" s="49"/>
      <c r="L31" s="180">
        <v>3.37</v>
      </c>
      <c r="M31" s="181"/>
      <c r="N31" s="174"/>
      <c r="O31" s="182">
        <f t="shared" si="7"/>
        <v>296.7359050445104</v>
      </c>
      <c r="P31" s="183">
        <f t="shared" si="5"/>
        <v>21.797159999999998</v>
      </c>
      <c r="Q31" s="184"/>
      <c r="R31" s="12"/>
      <c r="S31" s="182">
        <f>45*5+40*5</f>
        <v>425</v>
      </c>
      <c r="T31" s="185">
        <f t="shared" si="6"/>
        <v>2.5500000000000003</v>
      </c>
    </row>
    <row r="32" spans="1:20" ht="16.5" customHeight="1">
      <c r="A32" s="324"/>
      <c r="B32" s="54"/>
      <c r="C32" s="64" t="s">
        <v>85</v>
      </c>
      <c r="D32" s="56" t="s">
        <v>102</v>
      </c>
      <c r="E32" s="57">
        <v>5700</v>
      </c>
      <c r="F32" s="57">
        <v>5754</v>
      </c>
      <c r="G32" s="57">
        <v>5880</v>
      </c>
      <c r="H32" s="57">
        <v>6000</v>
      </c>
      <c r="I32" s="57">
        <v>6174</v>
      </c>
      <c r="J32" s="106">
        <v>6468</v>
      </c>
      <c r="K32" s="49"/>
      <c r="L32" s="180">
        <v>3.1</v>
      </c>
      <c r="M32" s="181"/>
      <c r="N32" s="174"/>
      <c r="O32" s="182">
        <f t="shared" si="7"/>
        <v>322.5806451612903</v>
      </c>
      <c r="P32" s="183">
        <f t="shared" si="5"/>
        <v>20.0508</v>
      </c>
      <c r="Q32" s="184"/>
      <c r="R32" s="12"/>
      <c r="S32" s="182">
        <f>50*4+46*4</f>
        <v>384</v>
      </c>
      <c r="T32" s="185">
        <f t="shared" si="6"/>
        <v>2.3040000000000003</v>
      </c>
    </row>
    <row r="33" spans="1:20" ht="16.5" customHeight="1">
      <c r="A33" s="324"/>
      <c r="B33" s="54"/>
      <c r="C33" s="64" t="s">
        <v>86</v>
      </c>
      <c r="D33" s="56" t="s">
        <v>102</v>
      </c>
      <c r="E33" s="57">
        <v>5700</v>
      </c>
      <c r="F33" s="57">
        <v>5754</v>
      </c>
      <c r="G33" s="57">
        <v>5880</v>
      </c>
      <c r="H33" s="57">
        <v>6000</v>
      </c>
      <c r="I33" s="57">
        <v>6174</v>
      </c>
      <c r="J33" s="106">
        <v>6468</v>
      </c>
      <c r="K33" s="49"/>
      <c r="L33" s="180">
        <v>3.7</v>
      </c>
      <c r="M33" s="181"/>
      <c r="N33" s="174"/>
      <c r="O33" s="182">
        <f t="shared" si="7"/>
        <v>270.27027027027026</v>
      </c>
      <c r="P33" s="183">
        <f t="shared" si="5"/>
        <v>23.931600000000003</v>
      </c>
      <c r="Q33" s="184"/>
      <c r="R33" s="12"/>
      <c r="S33" s="182">
        <f>50*5+45*5</f>
        <v>475</v>
      </c>
      <c r="T33" s="185">
        <f t="shared" si="6"/>
        <v>2.85</v>
      </c>
    </row>
    <row r="34" spans="1:20" ht="16.5" customHeight="1">
      <c r="A34" s="324"/>
      <c r="B34" s="63"/>
      <c r="C34" s="64" t="s">
        <v>87</v>
      </c>
      <c r="D34" s="56" t="s">
        <v>102</v>
      </c>
      <c r="E34" s="57">
        <v>6198</v>
      </c>
      <c r="F34" s="57">
        <v>6246</v>
      </c>
      <c r="G34" s="57">
        <v>6378</v>
      </c>
      <c r="H34" s="57">
        <v>6504</v>
      </c>
      <c r="I34" s="57">
        <v>6696</v>
      </c>
      <c r="J34" s="106">
        <v>7014</v>
      </c>
      <c r="K34" s="49"/>
      <c r="L34" s="180">
        <v>4.82</v>
      </c>
      <c r="M34" s="181"/>
      <c r="N34" s="174"/>
      <c r="O34" s="182">
        <f t="shared" si="7"/>
        <v>207.4688796680498</v>
      </c>
      <c r="P34" s="183">
        <f t="shared" si="5"/>
        <v>33.807480000000005</v>
      </c>
      <c r="Q34" s="184"/>
      <c r="R34" s="12"/>
      <c r="S34" s="182">
        <f>63*5+58*5</f>
        <v>605</v>
      </c>
      <c r="T34" s="185">
        <f t="shared" si="6"/>
        <v>3.63</v>
      </c>
    </row>
    <row r="35" spans="1:20" ht="16.5" customHeight="1">
      <c r="A35" s="324"/>
      <c r="B35" s="54"/>
      <c r="C35" s="64" t="s">
        <v>88</v>
      </c>
      <c r="D35" s="56" t="s">
        <v>102</v>
      </c>
      <c r="E35" s="57">
        <v>6198</v>
      </c>
      <c r="F35" s="57">
        <v>6246</v>
      </c>
      <c r="G35" s="57">
        <v>6378</v>
      </c>
      <c r="H35" s="58">
        <v>6504</v>
      </c>
      <c r="I35" s="58">
        <v>6696</v>
      </c>
      <c r="J35" s="59">
        <v>7014</v>
      </c>
      <c r="K35" s="49"/>
      <c r="L35" s="180">
        <v>5.72</v>
      </c>
      <c r="M35" s="181"/>
      <c r="N35" s="198"/>
      <c r="O35" s="182">
        <f t="shared" si="7"/>
        <v>174.82517482517483</v>
      </c>
      <c r="P35" s="183">
        <f t="shared" si="5"/>
        <v>40.12008</v>
      </c>
      <c r="Q35" s="184"/>
      <c r="R35" s="12"/>
      <c r="S35" s="182">
        <f>63*6+57*6</f>
        <v>720</v>
      </c>
      <c r="T35" s="185">
        <f t="shared" si="6"/>
        <v>4.32</v>
      </c>
    </row>
    <row r="36" spans="1:20" ht="16.5" customHeight="1">
      <c r="A36" s="324"/>
      <c r="B36" s="63"/>
      <c r="C36" s="64" t="s">
        <v>89</v>
      </c>
      <c r="D36" s="56" t="s">
        <v>102</v>
      </c>
      <c r="E36" s="57">
        <v>6054</v>
      </c>
      <c r="F36" s="57">
        <v>6102</v>
      </c>
      <c r="G36" s="57">
        <v>6234</v>
      </c>
      <c r="H36" s="57">
        <v>6360</v>
      </c>
      <c r="I36" s="57">
        <v>6546</v>
      </c>
      <c r="J36" s="106">
        <v>6858</v>
      </c>
      <c r="K36" s="49"/>
      <c r="L36" s="180">
        <v>5.4</v>
      </c>
      <c r="M36" s="181"/>
      <c r="N36" s="198"/>
      <c r="O36" s="182">
        <f t="shared" si="7"/>
        <v>185.18518518518516</v>
      </c>
      <c r="P36" s="183">
        <f t="shared" si="5"/>
        <v>37.03320000000001</v>
      </c>
      <c r="Q36" s="184"/>
      <c r="R36" s="12"/>
      <c r="S36" s="182">
        <f>70*5+65*5</f>
        <v>675</v>
      </c>
      <c r="T36" s="185">
        <f t="shared" si="6"/>
        <v>4.05</v>
      </c>
    </row>
    <row r="37" spans="1:20" ht="16.5" customHeight="1">
      <c r="A37" s="324"/>
      <c r="B37" s="63"/>
      <c r="C37" s="64" t="s">
        <v>90</v>
      </c>
      <c r="D37" s="56" t="s">
        <v>102</v>
      </c>
      <c r="E37" s="57">
        <v>6054</v>
      </c>
      <c r="F37" s="57">
        <v>6102</v>
      </c>
      <c r="G37" s="57">
        <v>6234</v>
      </c>
      <c r="H37" s="57">
        <v>6360</v>
      </c>
      <c r="I37" s="57">
        <v>6546</v>
      </c>
      <c r="J37" s="106">
        <v>6858</v>
      </c>
      <c r="K37" s="49"/>
      <c r="L37" s="180">
        <v>7.4</v>
      </c>
      <c r="M37" s="181"/>
      <c r="N37" s="198"/>
      <c r="O37" s="182">
        <f t="shared" si="7"/>
        <v>135.13513513513513</v>
      </c>
      <c r="P37" s="183">
        <f t="shared" si="5"/>
        <v>50.7492</v>
      </c>
      <c r="Q37" s="184"/>
      <c r="R37" s="12"/>
      <c r="S37" s="182">
        <f>70*7+63*7</f>
        <v>931</v>
      </c>
      <c r="T37" s="185">
        <f t="shared" si="6"/>
        <v>5.586</v>
      </c>
    </row>
    <row r="38" spans="1:20" ht="16.5" customHeight="1">
      <c r="A38" s="324"/>
      <c r="B38" s="63"/>
      <c r="C38" s="64" t="s">
        <v>91</v>
      </c>
      <c r="D38" s="56" t="s">
        <v>102</v>
      </c>
      <c r="E38" s="57">
        <v>6054</v>
      </c>
      <c r="F38" s="57">
        <v>6102</v>
      </c>
      <c r="G38" s="57">
        <v>6234</v>
      </c>
      <c r="H38" s="57">
        <v>6360</v>
      </c>
      <c r="I38" s="57">
        <v>6546</v>
      </c>
      <c r="J38" s="106">
        <v>6858</v>
      </c>
      <c r="K38" s="49"/>
      <c r="L38" s="180">
        <v>5.8</v>
      </c>
      <c r="M38" s="181"/>
      <c r="N38" s="198"/>
      <c r="O38" s="182">
        <f t="shared" si="7"/>
        <v>172.41379310344828</v>
      </c>
      <c r="P38" s="183">
        <f t="shared" si="5"/>
        <v>39.7764</v>
      </c>
      <c r="Q38" s="184"/>
      <c r="R38" s="12"/>
      <c r="S38" s="182">
        <f>75*5+70*5</f>
        <v>725</v>
      </c>
      <c r="T38" s="185">
        <f t="shared" si="6"/>
        <v>4.3500000000000005</v>
      </c>
    </row>
    <row r="39" spans="1:20" ht="16.5" customHeight="1">
      <c r="A39" s="324"/>
      <c r="B39" s="54"/>
      <c r="C39" s="64" t="s">
        <v>92</v>
      </c>
      <c r="D39" s="56" t="s">
        <v>102</v>
      </c>
      <c r="E39" s="57">
        <v>6054</v>
      </c>
      <c r="F39" s="57">
        <v>6102</v>
      </c>
      <c r="G39" s="57">
        <v>6234</v>
      </c>
      <c r="H39" s="57">
        <v>6360</v>
      </c>
      <c r="I39" s="57">
        <v>6546</v>
      </c>
      <c r="J39" s="106">
        <v>6858</v>
      </c>
      <c r="K39" s="49"/>
      <c r="L39" s="180">
        <v>6.9</v>
      </c>
      <c r="M39" s="181"/>
      <c r="N39" s="198"/>
      <c r="O39" s="182">
        <f t="shared" si="7"/>
        <v>144.92753623188406</v>
      </c>
      <c r="P39" s="183">
        <f t="shared" si="5"/>
        <v>47.32020000000001</v>
      </c>
      <c r="Q39" s="184"/>
      <c r="R39" s="12"/>
      <c r="S39" s="182">
        <f>75*6+69*6</f>
        <v>864</v>
      </c>
      <c r="T39" s="185">
        <f t="shared" si="6"/>
        <v>5.184</v>
      </c>
    </row>
    <row r="40" spans="1:20" ht="16.5" customHeight="1">
      <c r="A40" s="324"/>
      <c r="B40" s="54"/>
      <c r="C40" s="64" t="s">
        <v>93</v>
      </c>
      <c r="D40" s="56" t="s">
        <v>102</v>
      </c>
      <c r="E40" s="57">
        <v>6054</v>
      </c>
      <c r="F40" s="57">
        <v>6102</v>
      </c>
      <c r="G40" s="57">
        <v>6234</v>
      </c>
      <c r="H40" s="57">
        <v>6360</v>
      </c>
      <c r="I40" s="57">
        <v>6546</v>
      </c>
      <c r="J40" s="106">
        <v>6858</v>
      </c>
      <c r="K40" s="49"/>
      <c r="L40" s="180">
        <v>7.36</v>
      </c>
      <c r="M40" s="181"/>
      <c r="N40" s="198"/>
      <c r="O40" s="182">
        <f t="shared" si="7"/>
        <v>135.8695652173913</v>
      </c>
      <c r="P40" s="183">
        <f t="shared" si="5"/>
        <v>50.474880000000006</v>
      </c>
      <c r="Q40" s="184"/>
      <c r="R40" s="12"/>
      <c r="S40" s="182">
        <f>80*6+74*6</f>
        <v>924</v>
      </c>
      <c r="T40" s="185">
        <f t="shared" si="6"/>
        <v>5.5440000000000005</v>
      </c>
    </row>
    <row r="41" spans="1:20" ht="16.5" customHeight="1">
      <c r="A41" s="324"/>
      <c r="B41" s="54"/>
      <c r="C41" s="64" t="s">
        <v>94</v>
      </c>
      <c r="D41" s="56" t="s">
        <v>102</v>
      </c>
      <c r="E41" s="57">
        <v>6054</v>
      </c>
      <c r="F41" s="57">
        <v>6102</v>
      </c>
      <c r="G41" s="57">
        <v>6234</v>
      </c>
      <c r="H41" s="57">
        <v>6360</v>
      </c>
      <c r="I41" s="57">
        <v>6546</v>
      </c>
      <c r="J41" s="106">
        <v>6858</v>
      </c>
      <c r="K41" s="49"/>
      <c r="L41" s="180">
        <v>8.6</v>
      </c>
      <c r="M41" s="181"/>
      <c r="N41" s="198"/>
      <c r="O41" s="182">
        <f t="shared" si="7"/>
        <v>116.27906976744187</v>
      </c>
      <c r="P41" s="183">
        <f t="shared" si="5"/>
        <v>58.97879999999999</v>
      </c>
      <c r="Q41" s="184"/>
      <c r="R41" s="12"/>
      <c r="S41" s="182">
        <f>80*7+73*7</f>
        <v>1071</v>
      </c>
      <c r="T41" s="185">
        <f t="shared" si="6"/>
        <v>6.426</v>
      </c>
    </row>
    <row r="42" spans="1:20" ht="16.5" customHeight="1">
      <c r="A42" s="324"/>
      <c r="B42" s="54"/>
      <c r="C42" s="64" t="s">
        <v>95</v>
      </c>
      <c r="D42" s="56" t="s">
        <v>102</v>
      </c>
      <c r="E42" s="57">
        <v>6054</v>
      </c>
      <c r="F42" s="57">
        <v>6102</v>
      </c>
      <c r="G42" s="57">
        <v>6234</v>
      </c>
      <c r="H42" s="57">
        <v>6360</v>
      </c>
      <c r="I42" s="57">
        <v>6546</v>
      </c>
      <c r="J42" s="106">
        <v>6858</v>
      </c>
      <c r="K42" s="49"/>
      <c r="L42" s="180">
        <v>9.7</v>
      </c>
      <c r="M42" s="181"/>
      <c r="N42" s="198"/>
      <c r="O42" s="182">
        <f t="shared" si="7"/>
        <v>103.09278350515464</v>
      </c>
      <c r="P42" s="183">
        <f t="shared" si="5"/>
        <v>66.5226</v>
      </c>
      <c r="Q42" s="184"/>
      <c r="R42" s="12"/>
      <c r="S42" s="182">
        <f>80*8+72*8</f>
        <v>1216</v>
      </c>
      <c r="T42" s="185">
        <f t="shared" si="6"/>
        <v>7.296</v>
      </c>
    </row>
    <row r="43" spans="1:20" ht="16.5" customHeight="1">
      <c r="A43" s="324"/>
      <c r="B43" s="54"/>
      <c r="C43" s="64" t="s">
        <v>96</v>
      </c>
      <c r="D43" s="56" t="s">
        <v>102</v>
      </c>
      <c r="E43" s="57">
        <v>6276</v>
      </c>
      <c r="F43" s="57">
        <v>6324</v>
      </c>
      <c r="G43" s="57">
        <v>6456</v>
      </c>
      <c r="H43" s="57">
        <v>6582</v>
      </c>
      <c r="I43" s="57">
        <v>6780</v>
      </c>
      <c r="J43" s="106">
        <v>7098</v>
      </c>
      <c r="K43" s="49"/>
      <c r="L43" s="180">
        <v>8.34</v>
      </c>
      <c r="M43" s="181"/>
      <c r="N43" s="198"/>
      <c r="O43" s="182">
        <f t="shared" si="7"/>
        <v>119.90407673860912</v>
      </c>
      <c r="P43" s="183">
        <f t="shared" si="5"/>
        <v>59.19732</v>
      </c>
      <c r="Q43" s="184"/>
      <c r="R43" s="12"/>
      <c r="S43" s="182">
        <f>90*6+84*6</f>
        <v>1044</v>
      </c>
      <c r="T43" s="185">
        <f t="shared" si="6"/>
        <v>6.264</v>
      </c>
    </row>
    <row r="44" spans="1:20" ht="16.5" customHeight="1">
      <c r="A44" s="324"/>
      <c r="B44" s="54"/>
      <c r="C44" s="64" t="s">
        <v>97</v>
      </c>
      <c r="D44" s="56" t="s">
        <v>102</v>
      </c>
      <c r="E44" s="57">
        <v>6276</v>
      </c>
      <c r="F44" s="57">
        <v>6324</v>
      </c>
      <c r="G44" s="57">
        <v>6456</v>
      </c>
      <c r="H44" s="57">
        <v>6582</v>
      </c>
      <c r="I44" s="57">
        <v>6780</v>
      </c>
      <c r="J44" s="106">
        <v>7098</v>
      </c>
      <c r="K44" s="49"/>
      <c r="L44" s="180">
        <v>9.8</v>
      </c>
      <c r="M44" s="181"/>
      <c r="N44" s="198"/>
      <c r="O44" s="182">
        <f t="shared" si="7"/>
        <v>102.0408163265306</v>
      </c>
      <c r="P44" s="183">
        <f t="shared" si="5"/>
        <v>69.56040000000002</v>
      </c>
      <c r="Q44" s="184"/>
      <c r="R44" s="12"/>
      <c r="S44" s="182">
        <f>90*7+83*7</f>
        <v>1211</v>
      </c>
      <c r="T44" s="185">
        <f t="shared" si="6"/>
        <v>7.266</v>
      </c>
    </row>
    <row r="45" spans="1:20" ht="16.5" customHeight="1">
      <c r="A45" s="324"/>
      <c r="B45" s="54"/>
      <c r="C45" s="64" t="s">
        <v>98</v>
      </c>
      <c r="D45" s="56" t="s">
        <v>102</v>
      </c>
      <c r="E45" s="57">
        <v>6276</v>
      </c>
      <c r="F45" s="57">
        <v>6324</v>
      </c>
      <c r="G45" s="57">
        <v>6456</v>
      </c>
      <c r="H45" s="57">
        <v>6582</v>
      </c>
      <c r="I45" s="57">
        <v>6780</v>
      </c>
      <c r="J45" s="106">
        <v>7098</v>
      </c>
      <c r="K45" s="49"/>
      <c r="L45" s="180">
        <v>10.93</v>
      </c>
      <c r="M45" s="181"/>
      <c r="N45" s="198"/>
      <c r="O45" s="182">
        <f t="shared" si="7"/>
        <v>91.49130832570906</v>
      </c>
      <c r="P45" s="183">
        <f t="shared" si="5"/>
        <v>77.58114</v>
      </c>
      <c r="Q45" s="184"/>
      <c r="R45" s="12"/>
      <c r="S45" s="182">
        <f>90*8+82*8</f>
        <v>1376</v>
      </c>
      <c r="T45" s="185">
        <f t="shared" si="6"/>
        <v>8.256</v>
      </c>
    </row>
    <row r="46" spans="1:20" ht="16.5" customHeight="1">
      <c r="A46" s="324"/>
      <c r="B46" s="54"/>
      <c r="C46" s="64" t="s">
        <v>103</v>
      </c>
      <c r="D46" s="56" t="s">
        <v>102</v>
      </c>
      <c r="E46" s="57">
        <v>6276</v>
      </c>
      <c r="F46" s="57">
        <v>6324</v>
      </c>
      <c r="G46" s="57">
        <v>6456</v>
      </c>
      <c r="H46" s="58">
        <v>6582</v>
      </c>
      <c r="I46" s="58">
        <v>6780</v>
      </c>
      <c r="J46" s="59">
        <v>7098</v>
      </c>
      <c r="K46" s="49"/>
      <c r="L46" s="180">
        <v>10.79</v>
      </c>
      <c r="M46" s="181"/>
      <c r="N46" s="198"/>
      <c r="O46" s="182">
        <f t="shared" si="7"/>
        <v>92.67840593141798</v>
      </c>
      <c r="P46" s="183">
        <f t="shared" si="5"/>
        <v>76.58742</v>
      </c>
      <c r="Q46" s="184"/>
      <c r="R46" s="12"/>
      <c r="S46" s="182">
        <f>100*7+93*7</f>
        <v>1351</v>
      </c>
      <c r="T46" s="185">
        <f t="shared" si="6"/>
        <v>8.106</v>
      </c>
    </row>
    <row r="47" spans="1:20" ht="16.5" customHeight="1">
      <c r="A47" s="324"/>
      <c r="B47" s="54"/>
      <c r="C47" s="64" t="s">
        <v>99</v>
      </c>
      <c r="D47" s="56" t="s">
        <v>102</v>
      </c>
      <c r="E47" s="57">
        <v>6276</v>
      </c>
      <c r="F47" s="57">
        <v>6324</v>
      </c>
      <c r="G47" s="57">
        <v>6456</v>
      </c>
      <c r="H47" s="58">
        <v>6582</v>
      </c>
      <c r="I47" s="58">
        <v>6780</v>
      </c>
      <c r="J47" s="59">
        <v>7098</v>
      </c>
      <c r="K47" s="49"/>
      <c r="L47" s="180">
        <v>12.25</v>
      </c>
      <c r="M47" s="181"/>
      <c r="N47" s="198"/>
      <c r="O47" s="182">
        <f>1000/L47</f>
        <v>81.63265306122449</v>
      </c>
      <c r="P47" s="183">
        <f t="shared" si="5"/>
        <v>86.9505</v>
      </c>
      <c r="Q47" s="184"/>
      <c r="R47" s="12"/>
      <c r="S47" s="182">
        <v>1536</v>
      </c>
      <c r="T47" s="185">
        <f t="shared" si="6"/>
        <v>9.216000000000001</v>
      </c>
    </row>
    <row r="48" spans="1:20" ht="16.5" customHeight="1" thickBot="1">
      <c r="A48" s="325"/>
      <c r="B48" s="86"/>
      <c r="C48" s="66" t="s">
        <v>100</v>
      </c>
      <c r="D48" s="67" t="s">
        <v>102</v>
      </c>
      <c r="E48" s="68">
        <v>6276</v>
      </c>
      <c r="F48" s="68">
        <v>6324</v>
      </c>
      <c r="G48" s="68">
        <v>6456</v>
      </c>
      <c r="H48" s="68">
        <v>6582</v>
      </c>
      <c r="I48" s="68">
        <v>6780</v>
      </c>
      <c r="J48" s="108">
        <v>7098</v>
      </c>
      <c r="K48" s="49"/>
      <c r="L48" s="186">
        <v>13.7</v>
      </c>
      <c r="M48" s="187"/>
      <c r="N48" s="198"/>
      <c r="O48" s="188">
        <f>1000/L48</f>
        <v>72.99270072992701</v>
      </c>
      <c r="P48" s="189">
        <f t="shared" si="5"/>
        <v>97.2426</v>
      </c>
      <c r="Q48" s="190"/>
      <c r="R48" s="12"/>
      <c r="S48" s="182">
        <v>1719</v>
      </c>
      <c r="T48" s="191">
        <f t="shared" si="6"/>
        <v>10.314</v>
      </c>
    </row>
    <row r="49" spans="1:20" ht="12" customHeight="1" thickBot="1">
      <c r="A49" s="74"/>
      <c r="B49" s="75"/>
      <c r="C49" s="76"/>
      <c r="D49" s="77"/>
      <c r="E49" s="78"/>
      <c r="F49" s="78"/>
      <c r="G49" s="78"/>
      <c r="H49" s="79"/>
      <c r="I49" s="79"/>
      <c r="J49" s="79"/>
      <c r="K49" s="49"/>
      <c r="L49" s="192"/>
      <c r="M49" s="193"/>
      <c r="N49" s="198"/>
      <c r="O49" s="194"/>
      <c r="P49" s="195"/>
      <c r="Q49" s="196"/>
      <c r="R49" s="12"/>
      <c r="S49" s="194"/>
      <c r="T49" s="197"/>
    </row>
    <row r="50" spans="1:20" ht="16.5" customHeight="1" collapsed="1">
      <c r="A50" s="149" t="s">
        <v>104</v>
      </c>
      <c r="B50" s="199"/>
      <c r="C50" s="84" t="s">
        <v>105</v>
      </c>
      <c r="D50" s="200" t="s">
        <v>81</v>
      </c>
      <c r="E50" s="104">
        <v>7656</v>
      </c>
      <c r="F50" s="104">
        <v>7710</v>
      </c>
      <c r="G50" s="104">
        <v>7836</v>
      </c>
      <c r="H50" s="104">
        <v>7992</v>
      </c>
      <c r="I50" s="104">
        <v>8232</v>
      </c>
      <c r="J50" s="104">
        <v>8622</v>
      </c>
      <c r="K50" s="202"/>
      <c r="L50" s="172">
        <v>5.95</v>
      </c>
      <c r="M50" s="173">
        <f>L50*12</f>
        <v>71.4</v>
      </c>
      <c r="N50" s="203"/>
      <c r="O50" s="204">
        <f aca="true" t="shared" si="8" ref="O50:O57">1000/L50</f>
        <v>168.0672268907563</v>
      </c>
      <c r="P50" s="205">
        <f>I50*L50/1000</f>
        <v>48.9804</v>
      </c>
      <c r="Q50" s="173">
        <f>I50*M50/1000</f>
        <v>587.7648</v>
      </c>
      <c r="R50" s="206"/>
      <c r="S50" s="204">
        <v>751</v>
      </c>
      <c r="T50" s="207">
        <f aca="true" t="shared" si="9" ref="T50:T57">S50*0.006</f>
        <v>4.506</v>
      </c>
    </row>
    <row r="51" spans="1:20" ht="16.5" customHeight="1">
      <c r="A51" s="321"/>
      <c r="B51" s="54"/>
      <c r="C51" s="64" t="s">
        <v>106</v>
      </c>
      <c r="D51" s="85" t="s">
        <v>81</v>
      </c>
      <c r="E51" s="57">
        <v>6564</v>
      </c>
      <c r="F51" s="57">
        <v>6612</v>
      </c>
      <c r="G51" s="57">
        <v>6744</v>
      </c>
      <c r="H51" s="57">
        <v>6876</v>
      </c>
      <c r="I51" s="57">
        <v>7080</v>
      </c>
      <c r="J51" s="57">
        <v>7416</v>
      </c>
      <c r="K51" s="202"/>
      <c r="L51" s="180">
        <v>7.1</v>
      </c>
      <c r="M51" s="181">
        <f aca="true" t="shared" si="10" ref="M51:M57">L51*12</f>
        <v>85.19999999999999</v>
      </c>
      <c r="N51" s="203"/>
      <c r="O51" s="208">
        <f t="shared" si="8"/>
        <v>140.84507042253523</v>
      </c>
      <c r="P51" s="209">
        <f aca="true" t="shared" si="11" ref="P51:P57">I51*L51/1000</f>
        <v>50.268</v>
      </c>
      <c r="Q51" s="181">
        <f aca="true" t="shared" si="12" ref="Q51:Q57">I51*M51/1000</f>
        <v>603.2159999999999</v>
      </c>
      <c r="R51" s="206"/>
      <c r="S51" s="208">
        <v>898</v>
      </c>
      <c r="T51" s="210">
        <f t="shared" si="9"/>
        <v>5.388</v>
      </c>
    </row>
    <row r="52" spans="1:20" ht="16.5" customHeight="1">
      <c r="A52" s="321"/>
      <c r="B52" s="54"/>
      <c r="C52" s="64" t="s">
        <v>107</v>
      </c>
      <c r="D52" s="85" t="s">
        <v>81</v>
      </c>
      <c r="E52" s="57">
        <v>6564</v>
      </c>
      <c r="F52" s="57">
        <v>6612</v>
      </c>
      <c r="G52" s="57">
        <v>6744</v>
      </c>
      <c r="H52" s="57">
        <v>6876</v>
      </c>
      <c r="I52" s="57">
        <v>7080</v>
      </c>
      <c r="J52" s="57">
        <v>7416</v>
      </c>
      <c r="K52" s="202"/>
      <c r="L52" s="180">
        <v>8.7</v>
      </c>
      <c r="M52" s="181">
        <f t="shared" si="10"/>
        <v>104.39999999999999</v>
      </c>
      <c r="N52" s="203"/>
      <c r="O52" s="208">
        <f t="shared" si="8"/>
        <v>114.9425287356322</v>
      </c>
      <c r="P52" s="209">
        <f t="shared" si="11"/>
        <v>61.59599999999999</v>
      </c>
      <c r="Q52" s="181">
        <f t="shared" si="12"/>
        <v>739.1519999999999</v>
      </c>
      <c r="R52" s="206"/>
      <c r="S52" s="208">
        <v>1090</v>
      </c>
      <c r="T52" s="210">
        <f t="shared" si="9"/>
        <v>6.54</v>
      </c>
    </row>
    <row r="53" spans="1:20" ht="16.5" customHeight="1">
      <c r="A53" s="321"/>
      <c r="B53" s="54"/>
      <c r="C53" s="64" t="s">
        <v>108</v>
      </c>
      <c r="D53" s="85" t="s">
        <v>81</v>
      </c>
      <c r="E53" s="57">
        <v>7224</v>
      </c>
      <c r="F53" s="57">
        <v>7272</v>
      </c>
      <c r="G53" s="57">
        <v>7404</v>
      </c>
      <c r="H53" s="57">
        <v>7548</v>
      </c>
      <c r="I53" s="57">
        <v>7770</v>
      </c>
      <c r="J53" s="57">
        <v>8142</v>
      </c>
      <c r="K53" s="202"/>
      <c r="L53" s="180">
        <v>10.43</v>
      </c>
      <c r="M53" s="181">
        <f t="shared" si="10"/>
        <v>125.16</v>
      </c>
      <c r="N53" s="211"/>
      <c r="O53" s="208">
        <f t="shared" si="8"/>
        <v>95.87727708533077</v>
      </c>
      <c r="P53" s="209">
        <f t="shared" si="11"/>
        <v>81.04109999999999</v>
      </c>
      <c r="Q53" s="181">
        <f t="shared" si="12"/>
        <v>972.4932</v>
      </c>
      <c r="R53" s="212"/>
      <c r="S53" s="208">
        <v>1330</v>
      </c>
      <c r="T53" s="210">
        <f t="shared" si="9"/>
        <v>7.98</v>
      </c>
    </row>
    <row r="54" spans="1:20" ht="16.5" customHeight="1">
      <c r="A54" s="321"/>
      <c r="B54" s="54"/>
      <c r="C54" s="64" t="s">
        <v>109</v>
      </c>
      <c r="D54" s="85" t="s">
        <v>81</v>
      </c>
      <c r="E54" s="57">
        <v>7272</v>
      </c>
      <c r="F54" s="57">
        <v>7320</v>
      </c>
      <c r="G54" s="57">
        <v>7452</v>
      </c>
      <c r="H54" s="57">
        <v>7602</v>
      </c>
      <c r="I54" s="57">
        <v>7824</v>
      </c>
      <c r="J54" s="57">
        <v>8196</v>
      </c>
      <c r="K54" s="202"/>
      <c r="L54" s="180">
        <v>12.3</v>
      </c>
      <c r="M54" s="181">
        <f t="shared" si="10"/>
        <v>147.60000000000002</v>
      </c>
      <c r="N54" s="211"/>
      <c r="O54" s="208">
        <f t="shared" si="8"/>
        <v>81.30081300813008</v>
      </c>
      <c r="P54" s="209">
        <f t="shared" si="11"/>
        <v>96.2352</v>
      </c>
      <c r="Q54" s="181">
        <f t="shared" si="12"/>
        <v>1154.8224000000002</v>
      </c>
      <c r="R54" s="212"/>
      <c r="S54" s="208">
        <v>1560</v>
      </c>
      <c r="T54" s="210">
        <f t="shared" si="9"/>
        <v>9.36</v>
      </c>
    </row>
    <row r="55" spans="1:20" ht="16.5" customHeight="1">
      <c r="A55" s="321"/>
      <c r="B55" s="54"/>
      <c r="C55" s="64" t="s">
        <v>110</v>
      </c>
      <c r="D55" s="85" t="s">
        <v>81</v>
      </c>
      <c r="E55" s="57">
        <v>7272</v>
      </c>
      <c r="F55" s="57">
        <v>7320</v>
      </c>
      <c r="G55" s="57">
        <v>7452</v>
      </c>
      <c r="H55" s="57">
        <v>7602</v>
      </c>
      <c r="I55" s="57">
        <v>7824</v>
      </c>
      <c r="J55" s="57">
        <v>8196</v>
      </c>
      <c r="K55" s="202"/>
      <c r="L55" s="180">
        <v>14.23</v>
      </c>
      <c r="M55" s="181">
        <f t="shared" si="10"/>
        <v>170.76</v>
      </c>
      <c r="N55" s="211"/>
      <c r="O55" s="208">
        <f t="shared" si="8"/>
        <v>70.27406886858749</v>
      </c>
      <c r="P55" s="209">
        <f t="shared" si="11"/>
        <v>111.33552</v>
      </c>
      <c r="Q55" s="181">
        <f t="shared" si="12"/>
        <v>1336.02624</v>
      </c>
      <c r="R55" s="212"/>
      <c r="S55" s="208">
        <v>1810</v>
      </c>
      <c r="T55" s="210">
        <f t="shared" si="9"/>
        <v>10.86</v>
      </c>
    </row>
    <row r="56" spans="1:20" ht="16.5" customHeight="1">
      <c r="A56" s="321"/>
      <c r="B56" s="54"/>
      <c r="C56" s="64" t="s">
        <v>111</v>
      </c>
      <c r="D56" s="85" t="s">
        <v>81</v>
      </c>
      <c r="E56" s="57">
        <v>7272</v>
      </c>
      <c r="F56" s="57">
        <v>7320</v>
      </c>
      <c r="G56" s="57">
        <v>7452</v>
      </c>
      <c r="H56" s="57">
        <v>7602</v>
      </c>
      <c r="I56" s="57">
        <v>7824</v>
      </c>
      <c r="J56" s="57">
        <v>8196</v>
      </c>
      <c r="K56" s="202"/>
      <c r="L56" s="180">
        <v>16.3</v>
      </c>
      <c r="M56" s="181">
        <f t="shared" si="10"/>
        <v>195.60000000000002</v>
      </c>
      <c r="N56" s="211"/>
      <c r="O56" s="208">
        <f t="shared" si="8"/>
        <v>61.349693251533736</v>
      </c>
      <c r="P56" s="209">
        <f t="shared" si="11"/>
        <v>127.53120000000001</v>
      </c>
      <c r="Q56" s="181">
        <f t="shared" si="12"/>
        <v>1530.3744000000002</v>
      </c>
      <c r="R56" s="212"/>
      <c r="S56" s="208">
        <v>2070</v>
      </c>
      <c r="T56" s="210">
        <f t="shared" si="9"/>
        <v>12.42</v>
      </c>
    </row>
    <row r="57" spans="1:20" ht="16.5" customHeight="1" thickBot="1">
      <c r="A57" s="322"/>
      <c r="B57" s="65"/>
      <c r="C57" s="66" t="s">
        <v>112</v>
      </c>
      <c r="D57" s="213" t="s">
        <v>81</v>
      </c>
      <c r="E57" s="68">
        <v>7872</v>
      </c>
      <c r="F57" s="68">
        <v>7920</v>
      </c>
      <c r="G57" s="68">
        <v>8052</v>
      </c>
      <c r="H57" s="68">
        <v>8214</v>
      </c>
      <c r="I57" s="68">
        <v>8454</v>
      </c>
      <c r="J57" s="68">
        <v>8856</v>
      </c>
      <c r="K57" s="202"/>
      <c r="L57" s="186">
        <v>18.4</v>
      </c>
      <c r="M57" s="187">
        <f t="shared" si="10"/>
        <v>220.79999999999998</v>
      </c>
      <c r="N57" s="211"/>
      <c r="O57" s="214">
        <f t="shared" si="8"/>
        <v>54.34782608695652</v>
      </c>
      <c r="P57" s="215">
        <f t="shared" si="11"/>
        <v>155.5536</v>
      </c>
      <c r="Q57" s="187">
        <f t="shared" si="12"/>
        <v>1866.6432</v>
      </c>
      <c r="R57" s="212"/>
      <c r="S57" s="214">
        <v>2340</v>
      </c>
      <c r="T57" s="216">
        <f t="shared" si="9"/>
        <v>14.040000000000001</v>
      </c>
    </row>
    <row r="58" spans="1:20" ht="12" customHeight="1" thickBot="1">
      <c r="A58" s="74"/>
      <c r="B58" s="75"/>
      <c r="C58" s="76"/>
      <c r="D58" s="77"/>
      <c r="E58" s="78"/>
      <c r="F58" s="78"/>
      <c r="G58" s="78"/>
      <c r="H58" s="79"/>
      <c r="I58" s="79"/>
      <c r="J58" s="79"/>
      <c r="K58" s="49"/>
      <c r="L58" s="192"/>
      <c r="M58" s="193"/>
      <c r="N58" s="174"/>
      <c r="O58" s="194"/>
      <c r="P58" s="195"/>
      <c r="Q58" s="196"/>
      <c r="R58" s="12"/>
      <c r="S58" s="194"/>
      <c r="T58" s="197"/>
    </row>
    <row r="59" spans="1:20" ht="16.5" customHeight="1">
      <c r="A59" s="323" t="s">
        <v>113</v>
      </c>
      <c r="B59" s="83"/>
      <c r="C59" s="84" t="s">
        <v>105</v>
      </c>
      <c r="D59" s="46" t="s">
        <v>102</v>
      </c>
      <c r="E59" s="104">
        <v>6060</v>
      </c>
      <c r="F59" s="104">
        <v>6114</v>
      </c>
      <c r="G59" s="104">
        <v>6240</v>
      </c>
      <c r="H59" s="47">
        <v>6366</v>
      </c>
      <c r="I59" s="47">
        <v>6552</v>
      </c>
      <c r="J59" s="47">
        <v>6864</v>
      </c>
      <c r="K59" s="49"/>
      <c r="L59" s="172">
        <v>5.9</v>
      </c>
      <c r="M59" s="173"/>
      <c r="N59" s="174"/>
      <c r="O59" s="175">
        <f>1000/L59</f>
        <v>169.4915254237288</v>
      </c>
      <c r="P59" s="176">
        <f>J59*L59/1000</f>
        <v>40.497600000000006</v>
      </c>
      <c r="Q59" s="177"/>
      <c r="R59" s="12"/>
      <c r="S59" s="175">
        <v>751</v>
      </c>
      <c r="T59" s="179">
        <f>S59*0.006</f>
        <v>4.506</v>
      </c>
    </row>
    <row r="60" spans="1:20" ht="16.5" customHeight="1">
      <c r="A60" s="324"/>
      <c r="B60" s="54"/>
      <c r="C60" s="64" t="s">
        <v>106</v>
      </c>
      <c r="D60" s="56" t="s">
        <v>102</v>
      </c>
      <c r="E60" s="57">
        <v>6060</v>
      </c>
      <c r="F60" s="57">
        <v>6114</v>
      </c>
      <c r="G60" s="57">
        <v>6240</v>
      </c>
      <c r="H60" s="58">
        <v>6366</v>
      </c>
      <c r="I60" s="58">
        <v>6552</v>
      </c>
      <c r="J60" s="58">
        <v>6864</v>
      </c>
      <c r="K60" s="49"/>
      <c r="L60" s="180">
        <v>7.1</v>
      </c>
      <c r="M60" s="181"/>
      <c r="N60" s="174"/>
      <c r="O60" s="182">
        <f>1000/L60</f>
        <v>140.84507042253523</v>
      </c>
      <c r="P60" s="183">
        <f>J60*L60/1000</f>
        <v>48.734399999999994</v>
      </c>
      <c r="Q60" s="184"/>
      <c r="R60" s="12"/>
      <c r="S60" s="182">
        <v>898</v>
      </c>
      <c r="T60" s="185">
        <f>S60*0.006</f>
        <v>5.388</v>
      </c>
    </row>
    <row r="61" spans="1:20" ht="16.5" customHeight="1">
      <c r="A61" s="324"/>
      <c r="B61" s="54"/>
      <c r="C61" s="64" t="s">
        <v>107</v>
      </c>
      <c r="D61" s="85" t="s">
        <v>102</v>
      </c>
      <c r="E61" s="57">
        <v>6060</v>
      </c>
      <c r="F61" s="57">
        <v>6114</v>
      </c>
      <c r="G61" s="57">
        <v>6240</v>
      </c>
      <c r="H61" s="57">
        <v>6366</v>
      </c>
      <c r="I61" s="57">
        <v>6552</v>
      </c>
      <c r="J61" s="57">
        <v>6864</v>
      </c>
      <c r="K61" s="49"/>
      <c r="L61" s="180">
        <v>8.6</v>
      </c>
      <c r="M61" s="181"/>
      <c r="N61" s="174"/>
      <c r="O61" s="182">
        <f>1000/L61</f>
        <v>116.27906976744187</v>
      </c>
      <c r="P61" s="183">
        <f>J61*L61/1000</f>
        <v>59.03039999999999</v>
      </c>
      <c r="Q61" s="184"/>
      <c r="R61" s="12"/>
      <c r="S61" s="182">
        <v>1090</v>
      </c>
      <c r="T61" s="185">
        <f>S61*0.006</f>
        <v>6.54</v>
      </c>
    </row>
    <row r="62" spans="1:20" ht="12" customHeight="1" thickBot="1">
      <c r="A62" s="88"/>
      <c r="B62" s="89"/>
      <c r="C62" s="90"/>
      <c r="D62" s="91"/>
      <c r="E62" s="92"/>
      <c r="F62" s="92"/>
      <c r="G62" s="92"/>
      <c r="H62" s="93"/>
      <c r="I62" s="93"/>
      <c r="J62" s="93"/>
      <c r="K62" s="94"/>
      <c r="L62" s="218"/>
      <c r="M62" s="219"/>
      <c r="N62" s="220"/>
      <c r="O62" s="221"/>
      <c r="P62" s="222"/>
      <c r="Q62" s="219"/>
      <c r="R62" s="223"/>
      <c r="S62" s="224"/>
      <c r="T62" s="225"/>
    </row>
    <row r="63" spans="1:10" ht="6.75" customHeight="1" thickBot="1">
      <c r="A63" s="99"/>
      <c r="B63" s="100"/>
      <c r="C63" s="101"/>
      <c r="D63" s="101"/>
      <c r="E63" s="102"/>
      <c r="F63" s="102"/>
      <c r="G63" s="102"/>
      <c r="H63" s="102"/>
      <c r="I63" s="102"/>
      <c r="J63" s="102"/>
    </row>
    <row r="64" spans="1:20" ht="18" customHeight="1">
      <c r="A64" s="306" t="s">
        <v>59</v>
      </c>
      <c r="B64" s="306"/>
      <c r="C64" s="306"/>
      <c r="D64" s="306"/>
      <c r="E64" s="306"/>
      <c r="F64" s="306"/>
      <c r="G64" s="306"/>
      <c r="H64" s="306"/>
      <c r="I64" s="306"/>
      <c r="J64" s="306"/>
      <c r="L64" s="307" t="s">
        <v>71</v>
      </c>
      <c r="M64" s="308"/>
      <c r="N64" s="308"/>
      <c r="O64" s="308"/>
      <c r="P64" s="308"/>
      <c r="Q64" s="308"/>
      <c r="R64" s="308"/>
      <c r="S64" s="308"/>
      <c r="T64" s="309"/>
    </row>
    <row r="65" spans="1:20" ht="9.75" customHeight="1" thickBot="1">
      <c r="A65" s="124"/>
      <c r="B65" s="100"/>
      <c r="C65" s="101"/>
      <c r="D65" s="101"/>
      <c r="E65" s="125"/>
      <c r="F65" s="125"/>
      <c r="G65" s="125"/>
      <c r="H65" s="125"/>
      <c r="I65" s="125"/>
      <c r="J65" s="125"/>
      <c r="L65" s="33"/>
      <c r="M65" s="34"/>
      <c r="O65" s="34"/>
      <c r="P65" s="144"/>
      <c r="Q65" s="144"/>
      <c r="R65" s="12"/>
      <c r="S65" s="12"/>
      <c r="T65" s="145"/>
    </row>
    <row r="66" spans="1:20" ht="19.5" customHeight="1">
      <c r="A66" s="326" t="s">
        <v>73</v>
      </c>
      <c r="B66" s="327"/>
      <c r="C66" s="327"/>
      <c r="D66" s="327"/>
      <c r="E66" s="304"/>
      <c r="F66" s="304"/>
      <c r="G66" s="304"/>
      <c r="H66" s="304"/>
      <c r="I66" s="304"/>
      <c r="J66" s="304"/>
      <c r="K66" s="35"/>
      <c r="L66" s="358" t="s">
        <v>22</v>
      </c>
      <c r="M66" s="359"/>
      <c r="N66" s="165"/>
      <c r="O66" s="38" t="s">
        <v>23</v>
      </c>
      <c r="P66" s="360" t="s">
        <v>24</v>
      </c>
      <c r="Q66" s="361"/>
      <c r="R66" s="12"/>
      <c r="S66" s="146" t="s">
        <v>68</v>
      </c>
      <c r="T66" s="147" t="s">
        <v>24</v>
      </c>
    </row>
    <row r="67" spans="1:20" ht="19.5" customHeight="1">
      <c r="A67" s="328" t="s">
        <v>25</v>
      </c>
      <c r="B67" s="344" t="s">
        <v>74</v>
      </c>
      <c r="C67" s="344" t="s">
        <v>75</v>
      </c>
      <c r="D67" s="344" t="s">
        <v>76</v>
      </c>
      <c r="E67" s="140" t="s">
        <v>29</v>
      </c>
      <c r="F67" s="140" t="s">
        <v>30</v>
      </c>
      <c r="G67" s="140" t="s">
        <v>31</v>
      </c>
      <c r="H67" s="140" t="s">
        <v>32</v>
      </c>
      <c r="I67" s="140" t="s">
        <v>33</v>
      </c>
      <c r="J67" s="140" t="s">
        <v>34</v>
      </c>
      <c r="K67" s="35"/>
      <c r="L67" s="298" t="s">
        <v>77</v>
      </c>
      <c r="M67" s="353" t="s">
        <v>35</v>
      </c>
      <c r="N67" s="166"/>
      <c r="O67" s="315" t="s">
        <v>78</v>
      </c>
      <c r="P67" s="355" t="s">
        <v>77</v>
      </c>
      <c r="Q67" s="312" t="s">
        <v>35</v>
      </c>
      <c r="R67" s="12"/>
      <c r="S67" s="351" t="s">
        <v>69</v>
      </c>
      <c r="T67" s="294" t="s">
        <v>70</v>
      </c>
    </row>
    <row r="68" spans="1:20" ht="22.5" customHeight="1" outlineLevel="1" thickBot="1">
      <c r="A68" s="329"/>
      <c r="B68" s="345"/>
      <c r="C68" s="345"/>
      <c r="D68" s="345"/>
      <c r="E68" s="126" t="s">
        <v>37</v>
      </c>
      <c r="F68" s="126" t="s">
        <v>37</v>
      </c>
      <c r="G68" s="126" t="s">
        <v>37</v>
      </c>
      <c r="H68" s="126" t="s">
        <v>37</v>
      </c>
      <c r="I68" s="126" t="s">
        <v>37</v>
      </c>
      <c r="J68" s="127" t="s">
        <v>37</v>
      </c>
      <c r="K68" s="35"/>
      <c r="L68" s="299"/>
      <c r="M68" s="354"/>
      <c r="O68" s="316"/>
      <c r="P68" s="356"/>
      <c r="Q68" s="357"/>
      <c r="R68" s="12"/>
      <c r="S68" s="352"/>
      <c r="T68" s="314"/>
    </row>
    <row r="69" spans="1:20" ht="16.5" customHeight="1">
      <c r="A69" s="323" t="s">
        <v>114</v>
      </c>
      <c r="B69" s="87" t="s">
        <v>115</v>
      </c>
      <c r="C69" s="44">
        <v>8</v>
      </c>
      <c r="D69" s="46">
        <v>12</v>
      </c>
      <c r="E69" s="239">
        <v>6600</v>
      </c>
      <c r="F69" s="239">
        <v>6702</v>
      </c>
      <c r="G69" s="239">
        <v>6834</v>
      </c>
      <c r="H69" s="240">
        <v>6972</v>
      </c>
      <c r="I69" s="240">
        <v>7170</v>
      </c>
      <c r="J69" s="241">
        <v>7506</v>
      </c>
      <c r="K69" s="128"/>
      <c r="L69" s="172">
        <v>0.4</v>
      </c>
      <c r="M69" s="173">
        <v>4.8</v>
      </c>
      <c r="N69" s="226"/>
      <c r="O69" s="175">
        <f aca="true" t="shared" si="13" ref="O69:O74">1000/L69</f>
        <v>2500</v>
      </c>
      <c r="P69" s="176">
        <f aca="true" t="shared" si="14" ref="P69:P74">J69*L69/1000</f>
        <v>3.0024</v>
      </c>
      <c r="Q69" s="177">
        <f aca="true" t="shared" si="15" ref="Q69:Q74">J69*M69/1000</f>
        <v>36.0288</v>
      </c>
      <c r="R69" s="226"/>
      <c r="S69" s="175">
        <f>PI()*8^2/4</f>
        <v>50.26548245743669</v>
      </c>
      <c r="T69" s="179">
        <f aca="true" t="shared" si="16" ref="T69:T74">S69*0.006</f>
        <v>0.30159289474462014</v>
      </c>
    </row>
    <row r="70" spans="1:20" ht="16.5" customHeight="1">
      <c r="A70" s="324"/>
      <c r="B70" s="54" t="s">
        <v>115</v>
      </c>
      <c r="C70" s="227">
        <v>10</v>
      </c>
      <c r="D70" s="56">
        <v>12</v>
      </c>
      <c r="E70" s="242">
        <v>6552</v>
      </c>
      <c r="F70" s="242">
        <v>6648</v>
      </c>
      <c r="G70" s="242">
        <v>6786</v>
      </c>
      <c r="H70" s="243">
        <v>6918</v>
      </c>
      <c r="I70" s="243">
        <v>7116</v>
      </c>
      <c r="J70" s="244">
        <v>7446</v>
      </c>
      <c r="K70" s="128"/>
      <c r="L70" s="180">
        <v>0.62</v>
      </c>
      <c r="M70" s="181">
        <v>7.5</v>
      </c>
      <c r="N70" s="226"/>
      <c r="O70" s="182">
        <f t="shared" si="13"/>
        <v>1612.9032258064517</v>
      </c>
      <c r="P70" s="183">
        <f t="shared" si="14"/>
        <v>4.6165199999999995</v>
      </c>
      <c r="Q70" s="184">
        <f t="shared" si="15"/>
        <v>55.845</v>
      </c>
      <c r="R70" s="226"/>
      <c r="S70" s="182">
        <f>PI()*10^2/4</f>
        <v>78.53981633974483</v>
      </c>
      <c r="T70" s="185">
        <f t="shared" si="16"/>
        <v>0.471238898038469</v>
      </c>
    </row>
    <row r="71" spans="1:20" ht="16.5" customHeight="1">
      <c r="A71" s="324"/>
      <c r="B71" s="54" t="s">
        <v>115</v>
      </c>
      <c r="C71" s="227">
        <v>12</v>
      </c>
      <c r="D71" s="56">
        <v>12</v>
      </c>
      <c r="E71" s="242">
        <v>6504</v>
      </c>
      <c r="F71" s="242">
        <v>6606</v>
      </c>
      <c r="G71" s="242">
        <v>6738</v>
      </c>
      <c r="H71" s="243">
        <v>6870</v>
      </c>
      <c r="I71" s="243">
        <v>7068</v>
      </c>
      <c r="J71" s="244">
        <v>7398</v>
      </c>
      <c r="K71" s="128"/>
      <c r="L71" s="180">
        <v>0.89</v>
      </c>
      <c r="M71" s="181">
        <v>10.7</v>
      </c>
      <c r="N71" s="226"/>
      <c r="O71" s="182">
        <f t="shared" si="13"/>
        <v>1123.5955056179776</v>
      </c>
      <c r="P71" s="183">
        <f t="shared" si="14"/>
        <v>6.58422</v>
      </c>
      <c r="Q71" s="184">
        <f t="shared" si="15"/>
        <v>79.15859999999999</v>
      </c>
      <c r="R71" s="226"/>
      <c r="S71" s="182">
        <f>PI()*12^2/4</f>
        <v>113.09733552923255</v>
      </c>
      <c r="T71" s="185">
        <f t="shared" si="16"/>
        <v>0.6785840131753953</v>
      </c>
    </row>
    <row r="72" spans="1:20" ht="16.5" customHeight="1">
      <c r="A72" s="324"/>
      <c r="B72" s="54" t="s">
        <v>115</v>
      </c>
      <c r="C72" s="227">
        <v>14</v>
      </c>
      <c r="D72" s="56">
        <v>12</v>
      </c>
      <c r="E72" s="242">
        <v>6504</v>
      </c>
      <c r="F72" s="242">
        <v>6606</v>
      </c>
      <c r="G72" s="242">
        <v>6738</v>
      </c>
      <c r="H72" s="243">
        <v>6870</v>
      </c>
      <c r="I72" s="243">
        <v>7068</v>
      </c>
      <c r="J72" s="244">
        <v>7398</v>
      </c>
      <c r="K72" s="128"/>
      <c r="L72" s="180">
        <v>1.21</v>
      </c>
      <c r="M72" s="181">
        <v>14.5</v>
      </c>
      <c r="N72" s="226"/>
      <c r="O72" s="182">
        <f t="shared" si="13"/>
        <v>826.4462809917355</v>
      </c>
      <c r="P72" s="183">
        <f t="shared" si="14"/>
        <v>8.95158</v>
      </c>
      <c r="Q72" s="184">
        <f t="shared" si="15"/>
        <v>107.271</v>
      </c>
      <c r="R72" s="226"/>
      <c r="S72" s="182">
        <f>PI()*14^2/4</f>
        <v>153.93804002589985</v>
      </c>
      <c r="T72" s="185">
        <f t="shared" si="16"/>
        <v>0.9236282401553991</v>
      </c>
    </row>
    <row r="73" spans="1:20" ht="16.5" customHeight="1">
      <c r="A73" s="324"/>
      <c r="B73" s="54" t="s">
        <v>115</v>
      </c>
      <c r="C73" s="227">
        <v>16</v>
      </c>
      <c r="D73" s="56">
        <v>12</v>
      </c>
      <c r="E73" s="129">
        <v>6504</v>
      </c>
      <c r="F73" s="129">
        <v>6606</v>
      </c>
      <c r="G73" s="129">
        <v>6738</v>
      </c>
      <c r="H73" s="130">
        <v>6870</v>
      </c>
      <c r="I73" s="130">
        <v>7068</v>
      </c>
      <c r="J73" s="237">
        <v>7398</v>
      </c>
      <c r="K73" s="128"/>
      <c r="L73" s="180">
        <v>1.6</v>
      </c>
      <c r="M73" s="181">
        <v>19.2</v>
      </c>
      <c r="N73" s="226"/>
      <c r="O73" s="182">
        <f t="shared" si="13"/>
        <v>625</v>
      </c>
      <c r="P73" s="183">
        <f t="shared" si="14"/>
        <v>11.8368</v>
      </c>
      <c r="Q73" s="184">
        <f t="shared" si="15"/>
        <v>142.04160000000002</v>
      </c>
      <c r="R73" s="226"/>
      <c r="S73" s="182">
        <f>PI()*16^2/4</f>
        <v>201.06192982974676</v>
      </c>
      <c r="T73" s="185">
        <f t="shared" si="16"/>
        <v>1.2063715789784806</v>
      </c>
    </row>
    <row r="74" spans="1:20" ht="16.5" customHeight="1" thickBot="1">
      <c r="A74" s="325"/>
      <c r="B74" s="65" t="s">
        <v>115</v>
      </c>
      <c r="C74" s="217">
        <v>18</v>
      </c>
      <c r="D74" s="67">
        <v>12</v>
      </c>
      <c r="E74" s="131">
        <v>6504</v>
      </c>
      <c r="F74" s="131">
        <v>6606</v>
      </c>
      <c r="G74" s="131">
        <v>6738</v>
      </c>
      <c r="H74" s="132">
        <v>6870</v>
      </c>
      <c r="I74" s="132">
        <v>7068</v>
      </c>
      <c r="J74" s="238">
        <v>7398</v>
      </c>
      <c r="K74" s="128"/>
      <c r="L74" s="186">
        <v>2</v>
      </c>
      <c r="M74" s="187">
        <v>24</v>
      </c>
      <c r="N74" s="226"/>
      <c r="O74" s="188">
        <f t="shared" si="13"/>
        <v>500</v>
      </c>
      <c r="P74" s="189">
        <f t="shared" si="14"/>
        <v>14.796</v>
      </c>
      <c r="Q74" s="190">
        <f t="shared" si="15"/>
        <v>177.552</v>
      </c>
      <c r="R74" s="226"/>
      <c r="S74" s="182">
        <f>PI()*18^2/4</f>
        <v>254.46900494077323</v>
      </c>
      <c r="T74" s="191">
        <f t="shared" si="16"/>
        <v>1.5268140296446395</v>
      </c>
    </row>
    <row r="75" spans="1:20" ht="12" customHeight="1" thickBot="1">
      <c r="A75" s="74"/>
      <c r="B75" s="75"/>
      <c r="C75" s="76"/>
      <c r="D75" s="77"/>
      <c r="E75" s="78"/>
      <c r="F75" s="78"/>
      <c r="G75" s="78"/>
      <c r="H75" s="79"/>
      <c r="I75" s="79"/>
      <c r="J75" s="79"/>
      <c r="K75" s="94"/>
      <c r="L75" s="192"/>
      <c r="M75" s="193"/>
      <c r="N75" s="226"/>
      <c r="O75" s="194"/>
      <c r="P75" s="195"/>
      <c r="Q75" s="196"/>
      <c r="R75" s="226"/>
      <c r="S75" s="194"/>
      <c r="T75" s="197"/>
    </row>
    <row r="76" spans="1:20" ht="16.5" customHeight="1">
      <c r="A76" s="333" t="s">
        <v>117</v>
      </c>
      <c r="B76" s="83" t="s">
        <v>118</v>
      </c>
      <c r="C76" s="199">
        <v>8</v>
      </c>
      <c r="D76" s="46" t="s">
        <v>116</v>
      </c>
      <c r="E76" s="245">
        <v>6510</v>
      </c>
      <c r="F76" s="245">
        <v>6612</v>
      </c>
      <c r="G76" s="245">
        <v>6744</v>
      </c>
      <c r="H76" s="246">
        <v>6876</v>
      </c>
      <c r="I76" s="246">
        <v>7074</v>
      </c>
      <c r="J76" s="247">
        <v>7404</v>
      </c>
      <c r="K76" s="49"/>
      <c r="L76" s="172">
        <v>0.4</v>
      </c>
      <c r="M76" s="173"/>
      <c r="N76" s="174"/>
      <c r="O76" s="175">
        <f>1000/L76</f>
        <v>2500</v>
      </c>
      <c r="P76" s="176">
        <f>J76*L76/1000</f>
        <v>2.9616000000000002</v>
      </c>
      <c r="Q76" s="177"/>
      <c r="R76" s="174"/>
      <c r="S76" s="175">
        <f>PI()*8^2/4</f>
        <v>50.26548245743669</v>
      </c>
      <c r="T76" s="179">
        <f>S76*0.006</f>
        <v>0.30159289474462014</v>
      </c>
    </row>
    <row r="77" spans="1:20" ht="16.5" customHeight="1">
      <c r="A77" s="350"/>
      <c r="B77" s="63" t="s">
        <v>118</v>
      </c>
      <c r="C77" s="227">
        <v>10</v>
      </c>
      <c r="D77" s="56" t="s">
        <v>119</v>
      </c>
      <c r="E77" s="248">
        <v>6510</v>
      </c>
      <c r="F77" s="248">
        <v>6612</v>
      </c>
      <c r="G77" s="248">
        <v>6744</v>
      </c>
      <c r="H77" s="249">
        <v>6876</v>
      </c>
      <c r="I77" s="249">
        <v>7074</v>
      </c>
      <c r="J77" s="250">
        <v>7404</v>
      </c>
      <c r="K77" s="49"/>
      <c r="L77" s="180">
        <v>0.62</v>
      </c>
      <c r="M77" s="181"/>
      <c r="N77" s="174"/>
      <c r="O77" s="182">
        <f>1000/L77</f>
        <v>1612.9032258064517</v>
      </c>
      <c r="P77" s="183">
        <f>J77*L77/1000</f>
        <v>4.5904799999999994</v>
      </c>
      <c r="Q77" s="184"/>
      <c r="R77" s="174"/>
      <c r="S77" s="182">
        <f>PI()*10^2/4</f>
        <v>78.53981633974483</v>
      </c>
      <c r="T77" s="185">
        <f>S77*0.006</f>
        <v>0.471238898038469</v>
      </c>
    </row>
    <row r="78" spans="1:20" ht="16.5" customHeight="1">
      <c r="A78" s="350"/>
      <c r="B78" s="63" t="s">
        <v>118</v>
      </c>
      <c r="C78" s="227">
        <v>12</v>
      </c>
      <c r="D78" s="56" t="s">
        <v>119</v>
      </c>
      <c r="E78" s="248">
        <v>6630</v>
      </c>
      <c r="F78" s="248">
        <v>6726</v>
      </c>
      <c r="G78" s="248">
        <v>6864</v>
      </c>
      <c r="H78" s="249">
        <v>6996</v>
      </c>
      <c r="I78" s="249">
        <v>7200</v>
      </c>
      <c r="J78" s="250">
        <v>7536</v>
      </c>
      <c r="K78" s="49"/>
      <c r="L78" s="180">
        <v>0.89</v>
      </c>
      <c r="M78" s="181"/>
      <c r="N78" s="174"/>
      <c r="O78" s="182">
        <f>1000/L78</f>
        <v>1123.5955056179776</v>
      </c>
      <c r="P78" s="183">
        <f>J78*L78/1000</f>
        <v>6.70704</v>
      </c>
      <c r="Q78" s="184"/>
      <c r="R78" s="174"/>
      <c r="S78" s="182">
        <f>PI()*12^2/4</f>
        <v>113.09733552923255</v>
      </c>
      <c r="T78" s="185">
        <f>S78*0.006</f>
        <v>0.6785840131753953</v>
      </c>
    </row>
    <row r="79" spans="1:20" ht="16.5" customHeight="1">
      <c r="A79" s="350"/>
      <c r="B79" s="63" t="s">
        <v>118</v>
      </c>
      <c r="C79" s="227">
        <v>14</v>
      </c>
      <c r="D79" s="56" t="s">
        <v>119</v>
      </c>
      <c r="E79" s="248">
        <v>6630</v>
      </c>
      <c r="F79" s="248">
        <v>6726</v>
      </c>
      <c r="G79" s="248">
        <v>6864</v>
      </c>
      <c r="H79" s="249">
        <v>6996</v>
      </c>
      <c r="I79" s="249">
        <v>7200</v>
      </c>
      <c r="J79" s="250">
        <v>7536</v>
      </c>
      <c r="K79" s="49"/>
      <c r="L79" s="180">
        <v>1.21</v>
      </c>
      <c r="M79" s="181"/>
      <c r="N79" s="174"/>
      <c r="O79" s="182">
        <f>1000/L79</f>
        <v>826.4462809917355</v>
      </c>
      <c r="P79" s="183">
        <f>J79*L79/1000</f>
        <v>9.118559999999999</v>
      </c>
      <c r="Q79" s="184"/>
      <c r="R79" s="174"/>
      <c r="S79" s="182">
        <f>PI()*14^2/4</f>
        <v>153.93804002589985</v>
      </c>
      <c r="T79" s="185">
        <f>S79*0.006</f>
        <v>0.9236282401553991</v>
      </c>
    </row>
    <row r="80" spans="1:20" ht="16.5" customHeight="1" thickBot="1">
      <c r="A80" s="334"/>
      <c r="B80" s="86" t="s">
        <v>118</v>
      </c>
      <c r="C80" s="217">
        <v>16</v>
      </c>
      <c r="D80" s="67" t="s">
        <v>119</v>
      </c>
      <c r="E80" s="68">
        <v>6630</v>
      </c>
      <c r="F80" s="68">
        <v>6726</v>
      </c>
      <c r="G80" s="68">
        <v>6864</v>
      </c>
      <c r="H80" s="69">
        <v>6996</v>
      </c>
      <c r="I80" s="69">
        <v>7200</v>
      </c>
      <c r="J80" s="70">
        <v>7536</v>
      </c>
      <c r="K80" s="49"/>
      <c r="L80" s="186">
        <v>1.6</v>
      </c>
      <c r="M80" s="187"/>
      <c r="N80" s="174"/>
      <c r="O80" s="188">
        <f>1000/L80</f>
        <v>625</v>
      </c>
      <c r="P80" s="189">
        <f>J80*L80/1000</f>
        <v>12.0576</v>
      </c>
      <c r="Q80" s="190"/>
      <c r="R80" s="174"/>
      <c r="S80" s="182">
        <f>PI()*16^2/4</f>
        <v>201.06192982974676</v>
      </c>
      <c r="T80" s="191">
        <f>S80*0.006</f>
        <v>1.2063715789784806</v>
      </c>
    </row>
    <row r="81" spans="1:20" ht="12" customHeight="1" thickBot="1">
      <c r="A81" s="74"/>
      <c r="B81" s="75"/>
      <c r="C81" s="76"/>
      <c r="D81" s="77"/>
      <c r="E81" s="78"/>
      <c r="F81" s="78"/>
      <c r="G81" s="78"/>
      <c r="H81" s="79"/>
      <c r="I81" s="79"/>
      <c r="J81" s="79"/>
      <c r="K81" s="94"/>
      <c r="L81" s="192"/>
      <c r="M81" s="193"/>
      <c r="N81" s="226"/>
      <c r="O81" s="194"/>
      <c r="P81" s="195"/>
      <c r="Q81" s="196"/>
      <c r="R81" s="226"/>
      <c r="S81" s="194"/>
      <c r="T81" s="197"/>
    </row>
    <row r="82" spans="1:20" ht="16.5" customHeight="1">
      <c r="A82" s="333" t="s">
        <v>79</v>
      </c>
      <c r="B82" s="83"/>
      <c r="C82" s="199" t="s">
        <v>120</v>
      </c>
      <c r="D82" s="46" t="s">
        <v>102</v>
      </c>
      <c r="E82" s="104">
        <v>5700</v>
      </c>
      <c r="F82" s="104">
        <v>5784</v>
      </c>
      <c r="G82" s="104">
        <v>5904</v>
      </c>
      <c r="H82" s="47">
        <v>6018</v>
      </c>
      <c r="I82" s="47">
        <v>6192</v>
      </c>
      <c r="J82" s="48">
        <v>6480</v>
      </c>
      <c r="K82" s="49"/>
      <c r="L82" s="172">
        <v>1.5</v>
      </c>
      <c r="M82" s="173"/>
      <c r="N82" s="174"/>
      <c r="O82" s="175">
        <f aca="true" t="shared" si="17" ref="O82:O90">1000/L82</f>
        <v>666.6666666666666</v>
      </c>
      <c r="P82" s="176">
        <f aca="true" t="shared" si="18" ref="P82:P98">J82*L82/1000</f>
        <v>9.72</v>
      </c>
      <c r="Q82" s="177"/>
      <c r="R82" s="174"/>
      <c r="S82" s="175">
        <f>25*4+21*4</f>
        <v>184</v>
      </c>
      <c r="T82" s="179">
        <f aca="true" t="shared" si="19" ref="T82:T98">S82*0.006</f>
        <v>1.104</v>
      </c>
    </row>
    <row r="83" spans="1:20" ht="16.5" customHeight="1">
      <c r="A83" s="350"/>
      <c r="B83" s="63"/>
      <c r="C83" s="227" t="s">
        <v>121</v>
      </c>
      <c r="D83" s="56" t="s">
        <v>102</v>
      </c>
      <c r="E83" s="57">
        <v>5700</v>
      </c>
      <c r="F83" s="57">
        <v>5784</v>
      </c>
      <c r="G83" s="57">
        <v>5904</v>
      </c>
      <c r="H83" s="58">
        <v>6018</v>
      </c>
      <c r="I83" s="58">
        <v>6192</v>
      </c>
      <c r="J83" s="59">
        <v>6480</v>
      </c>
      <c r="K83" s="49"/>
      <c r="L83" s="180">
        <v>1.9</v>
      </c>
      <c r="M83" s="181"/>
      <c r="N83" s="174"/>
      <c r="O83" s="182">
        <f t="shared" si="17"/>
        <v>526.3157894736843</v>
      </c>
      <c r="P83" s="183">
        <f t="shared" si="18"/>
        <v>12.312</v>
      </c>
      <c r="Q83" s="184"/>
      <c r="R83" s="174"/>
      <c r="S83" s="182">
        <f>32*4+28*4</f>
        <v>240</v>
      </c>
      <c r="T83" s="185">
        <f t="shared" si="19"/>
        <v>1.44</v>
      </c>
    </row>
    <row r="84" spans="1:20" ht="16.5" customHeight="1">
      <c r="A84" s="350"/>
      <c r="B84" s="63"/>
      <c r="C84" s="227" t="s">
        <v>122</v>
      </c>
      <c r="D84" s="56" t="s">
        <v>102</v>
      </c>
      <c r="E84" s="57">
        <v>5700</v>
      </c>
      <c r="F84" s="57">
        <v>5784</v>
      </c>
      <c r="G84" s="57">
        <v>5904</v>
      </c>
      <c r="H84" s="58">
        <v>6018</v>
      </c>
      <c r="I84" s="58">
        <v>6192</v>
      </c>
      <c r="J84" s="59">
        <v>6480</v>
      </c>
      <c r="K84" s="49"/>
      <c r="L84" s="180">
        <v>2.1</v>
      </c>
      <c r="M84" s="181"/>
      <c r="N84" s="174"/>
      <c r="O84" s="182">
        <f t="shared" si="17"/>
        <v>476.19047619047615</v>
      </c>
      <c r="P84" s="183">
        <f t="shared" si="18"/>
        <v>13.608</v>
      </c>
      <c r="Q84" s="184"/>
      <c r="R84" s="174"/>
      <c r="S84" s="182">
        <f>35*4+31*4</f>
        <v>264</v>
      </c>
      <c r="T84" s="185">
        <f t="shared" si="19"/>
        <v>1.584</v>
      </c>
    </row>
    <row r="85" spans="1:20" ht="16.5" customHeight="1">
      <c r="A85" s="350"/>
      <c r="B85" s="63"/>
      <c r="C85" s="227" t="s">
        <v>80</v>
      </c>
      <c r="D85" s="56" t="s">
        <v>102</v>
      </c>
      <c r="E85" s="57">
        <v>5700</v>
      </c>
      <c r="F85" s="57">
        <v>5784</v>
      </c>
      <c r="G85" s="57">
        <v>5904</v>
      </c>
      <c r="H85" s="58">
        <v>6018</v>
      </c>
      <c r="I85" s="58">
        <v>6192</v>
      </c>
      <c r="J85" s="59">
        <v>6480</v>
      </c>
      <c r="K85" s="49"/>
      <c r="L85" s="180">
        <v>2.4</v>
      </c>
      <c r="M85" s="181"/>
      <c r="N85" s="174"/>
      <c r="O85" s="182">
        <f t="shared" si="17"/>
        <v>416.6666666666667</v>
      </c>
      <c r="P85" s="183">
        <f t="shared" si="18"/>
        <v>15.552</v>
      </c>
      <c r="Q85" s="184"/>
      <c r="R85" s="174"/>
      <c r="S85" s="182">
        <f>40*4+36*4</f>
        <v>304</v>
      </c>
      <c r="T85" s="185">
        <f t="shared" si="19"/>
        <v>1.824</v>
      </c>
    </row>
    <row r="86" spans="1:20" ht="16.5" customHeight="1">
      <c r="A86" s="350"/>
      <c r="B86" s="63"/>
      <c r="C86" s="227" t="s">
        <v>123</v>
      </c>
      <c r="D86" s="56">
        <v>6</v>
      </c>
      <c r="E86" s="57">
        <v>6660</v>
      </c>
      <c r="F86" s="57">
        <v>6756</v>
      </c>
      <c r="G86" s="57">
        <v>6894</v>
      </c>
      <c r="H86" s="58">
        <v>7032</v>
      </c>
      <c r="I86" s="58">
        <v>7230</v>
      </c>
      <c r="J86" s="59">
        <v>7572</v>
      </c>
      <c r="K86" s="49"/>
      <c r="L86" s="180">
        <v>1.21</v>
      </c>
      <c r="M86" s="181">
        <v>7.3</v>
      </c>
      <c r="N86" s="174"/>
      <c r="O86" s="182">
        <f t="shared" si="17"/>
        <v>826.4462809917355</v>
      </c>
      <c r="P86" s="183">
        <f t="shared" si="18"/>
        <v>9.16212</v>
      </c>
      <c r="Q86" s="184">
        <f aca="true" t="shared" si="20" ref="Q86:Q96">J86*M86/1000</f>
        <v>55.2756</v>
      </c>
      <c r="R86" s="174"/>
      <c r="S86" s="182">
        <f>25*3+22*3</f>
        <v>141</v>
      </c>
      <c r="T86" s="185">
        <f t="shared" si="19"/>
        <v>0.846</v>
      </c>
    </row>
    <row r="87" spans="1:20" ht="16.5" customHeight="1">
      <c r="A87" s="350"/>
      <c r="B87" s="63"/>
      <c r="C87" s="227" t="s">
        <v>124</v>
      </c>
      <c r="D87" s="56">
        <v>6</v>
      </c>
      <c r="E87" s="57">
        <v>6660</v>
      </c>
      <c r="F87" s="57">
        <v>6756</v>
      </c>
      <c r="G87" s="57">
        <v>6894</v>
      </c>
      <c r="H87" s="58">
        <v>7032</v>
      </c>
      <c r="I87" s="58">
        <v>7230</v>
      </c>
      <c r="J87" s="59">
        <v>7572</v>
      </c>
      <c r="K87" s="49"/>
      <c r="L87" s="180">
        <v>1.6</v>
      </c>
      <c r="M87" s="181">
        <v>9.6</v>
      </c>
      <c r="N87" s="174"/>
      <c r="O87" s="182">
        <f t="shared" si="17"/>
        <v>625</v>
      </c>
      <c r="P87" s="183">
        <f t="shared" si="18"/>
        <v>12.115200000000002</v>
      </c>
      <c r="Q87" s="184">
        <f t="shared" si="20"/>
        <v>72.6912</v>
      </c>
      <c r="R87" s="174"/>
      <c r="S87" s="182">
        <f>32*3+29*3</f>
        <v>183</v>
      </c>
      <c r="T87" s="185">
        <f t="shared" si="19"/>
        <v>1.098</v>
      </c>
    </row>
    <row r="88" spans="1:20" ht="16.5" customHeight="1">
      <c r="A88" s="350"/>
      <c r="B88" s="63"/>
      <c r="C88" s="227" t="s">
        <v>125</v>
      </c>
      <c r="D88" s="56">
        <v>6</v>
      </c>
      <c r="E88" s="57">
        <v>6660</v>
      </c>
      <c r="F88" s="57">
        <v>6756</v>
      </c>
      <c r="G88" s="57">
        <v>6894</v>
      </c>
      <c r="H88" s="58">
        <v>7032</v>
      </c>
      <c r="I88" s="58">
        <v>7230</v>
      </c>
      <c r="J88" s="59">
        <v>7572</v>
      </c>
      <c r="K88" s="49"/>
      <c r="L88" s="180">
        <v>1.8</v>
      </c>
      <c r="M88" s="181">
        <v>10.8</v>
      </c>
      <c r="N88" s="174"/>
      <c r="O88" s="182">
        <f t="shared" si="17"/>
        <v>555.5555555555555</v>
      </c>
      <c r="P88" s="183">
        <f t="shared" si="18"/>
        <v>13.6296</v>
      </c>
      <c r="Q88" s="184">
        <f t="shared" si="20"/>
        <v>81.7776</v>
      </c>
      <c r="R88" s="174"/>
      <c r="S88" s="182">
        <f>35*3+32*3</f>
        <v>201</v>
      </c>
      <c r="T88" s="185">
        <f t="shared" si="19"/>
        <v>1.206</v>
      </c>
    </row>
    <row r="89" spans="1:20" ht="16.5" customHeight="1">
      <c r="A89" s="350"/>
      <c r="B89" s="63"/>
      <c r="C89" s="227" t="s">
        <v>126</v>
      </c>
      <c r="D89" s="56">
        <v>6</v>
      </c>
      <c r="E89" s="57">
        <v>6660</v>
      </c>
      <c r="F89" s="57">
        <v>6756</v>
      </c>
      <c r="G89" s="57">
        <v>6894</v>
      </c>
      <c r="H89" s="58">
        <v>7032</v>
      </c>
      <c r="I89" s="58">
        <v>7230</v>
      </c>
      <c r="J89" s="59">
        <v>7572</v>
      </c>
      <c r="K89" s="49"/>
      <c r="L89" s="180">
        <v>2</v>
      </c>
      <c r="M89" s="181">
        <v>12</v>
      </c>
      <c r="N89" s="174"/>
      <c r="O89" s="182">
        <f t="shared" si="17"/>
        <v>500</v>
      </c>
      <c r="P89" s="183">
        <f t="shared" si="18"/>
        <v>15.144</v>
      </c>
      <c r="Q89" s="184">
        <f t="shared" si="20"/>
        <v>90.864</v>
      </c>
      <c r="R89" s="174"/>
      <c r="S89" s="182">
        <f>40*3+37*3</f>
        <v>231</v>
      </c>
      <c r="T89" s="185">
        <f t="shared" si="19"/>
        <v>1.3860000000000001</v>
      </c>
    </row>
    <row r="90" spans="1:20" ht="16.5" customHeight="1">
      <c r="A90" s="350"/>
      <c r="B90" s="63"/>
      <c r="C90" s="227" t="s">
        <v>80</v>
      </c>
      <c r="D90" s="56">
        <v>6</v>
      </c>
      <c r="E90" s="57">
        <v>6660</v>
      </c>
      <c r="F90" s="57">
        <v>6756</v>
      </c>
      <c r="G90" s="57">
        <v>6894</v>
      </c>
      <c r="H90" s="58">
        <v>7032</v>
      </c>
      <c r="I90" s="58">
        <v>7230</v>
      </c>
      <c r="J90" s="59">
        <v>7572</v>
      </c>
      <c r="K90" s="49"/>
      <c r="L90" s="180">
        <v>2.4</v>
      </c>
      <c r="M90" s="181">
        <v>14.4</v>
      </c>
      <c r="N90" s="174"/>
      <c r="O90" s="182">
        <f t="shared" si="17"/>
        <v>416.6666666666667</v>
      </c>
      <c r="P90" s="183">
        <f t="shared" si="18"/>
        <v>18.1728</v>
      </c>
      <c r="Q90" s="184">
        <f t="shared" si="20"/>
        <v>109.0368</v>
      </c>
      <c r="R90" s="174"/>
      <c r="S90" s="182">
        <f>40*4+36*4</f>
        <v>304</v>
      </c>
      <c r="T90" s="185">
        <f t="shared" si="19"/>
        <v>1.824</v>
      </c>
    </row>
    <row r="91" spans="1:20" ht="16.5" customHeight="1">
      <c r="A91" s="350"/>
      <c r="B91" s="63"/>
      <c r="C91" s="227" t="s">
        <v>127</v>
      </c>
      <c r="D91" s="56">
        <v>6</v>
      </c>
      <c r="E91" s="57">
        <v>6840</v>
      </c>
      <c r="F91" s="57">
        <v>6942</v>
      </c>
      <c r="G91" s="57">
        <v>7086</v>
      </c>
      <c r="H91" s="58">
        <v>7224</v>
      </c>
      <c r="I91" s="58">
        <v>7428</v>
      </c>
      <c r="J91" s="59">
        <v>7776</v>
      </c>
      <c r="K91" s="49"/>
      <c r="L91" s="180">
        <v>1.21</v>
      </c>
      <c r="M91" s="181">
        <v>7.3</v>
      </c>
      <c r="N91" s="174"/>
      <c r="O91" s="182">
        <f aca="true" t="shared" si="21" ref="O91:O98">1000/L91</f>
        <v>826.4462809917355</v>
      </c>
      <c r="P91" s="183">
        <f t="shared" si="18"/>
        <v>9.408959999999999</v>
      </c>
      <c r="Q91" s="184">
        <f t="shared" si="20"/>
        <v>56.764799999999994</v>
      </c>
      <c r="R91" s="174"/>
      <c r="S91" s="182">
        <f>25*3+22*3</f>
        <v>141</v>
      </c>
      <c r="T91" s="185">
        <f t="shared" si="19"/>
        <v>0.846</v>
      </c>
    </row>
    <row r="92" spans="1:20" ht="16.5" customHeight="1">
      <c r="A92" s="350"/>
      <c r="B92" s="63"/>
      <c r="C92" s="227" t="s">
        <v>128</v>
      </c>
      <c r="D92" s="56">
        <v>6</v>
      </c>
      <c r="E92" s="57">
        <v>6840</v>
      </c>
      <c r="F92" s="57">
        <v>6942</v>
      </c>
      <c r="G92" s="57">
        <v>7086</v>
      </c>
      <c r="H92" s="58">
        <v>7224</v>
      </c>
      <c r="I92" s="58">
        <v>7428</v>
      </c>
      <c r="J92" s="59">
        <v>7776</v>
      </c>
      <c r="K92" s="49"/>
      <c r="L92" s="180">
        <v>1.6</v>
      </c>
      <c r="M92" s="181">
        <v>9.6</v>
      </c>
      <c r="N92" s="174"/>
      <c r="O92" s="182">
        <f t="shared" si="21"/>
        <v>625</v>
      </c>
      <c r="P92" s="183">
        <f t="shared" si="18"/>
        <v>12.441600000000001</v>
      </c>
      <c r="Q92" s="184">
        <f t="shared" si="20"/>
        <v>74.64959999999999</v>
      </c>
      <c r="R92" s="174"/>
      <c r="S92" s="182">
        <f>32*3+29*3</f>
        <v>183</v>
      </c>
      <c r="T92" s="185">
        <f t="shared" si="19"/>
        <v>1.098</v>
      </c>
    </row>
    <row r="93" spans="1:20" ht="16.5" customHeight="1">
      <c r="A93" s="350"/>
      <c r="B93" s="63"/>
      <c r="C93" s="227" t="s">
        <v>129</v>
      </c>
      <c r="D93" s="56">
        <v>6</v>
      </c>
      <c r="E93" s="57">
        <v>6840</v>
      </c>
      <c r="F93" s="57">
        <v>6942</v>
      </c>
      <c r="G93" s="57">
        <v>7086</v>
      </c>
      <c r="H93" s="58">
        <v>7224</v>
      </c>
      <c r="I93" s="58">
        <v>7428</v>
      </c>
      <c r="J93" s="59">
        <v>7776</v>
      </c>
      <c r="K93" s="49"/>
      <c r="L93" s="180">
        <v>1.8</v>
      </c>
      <c r="M93" s="181">
        <v>10.8</v>
      </c>
      <c r="N93" s="174"/>
      <c r="O93" s="182">
        <f t="shared" si="21"/>
        <v>555.5555555555555</v>
      </c>
      <c r="P93" s="183">
        <f t="shared" si="18"/>
        <v>13.9968</v>
      </c>
      <c r="Q93" s="184">
        <f t="shared" si="20"/>
        <v>83.9808</v>
      </c>
      <c r="R93" s="174"/>
      <c r="S93" s="182">
        <f>35*3+32*3</f>
        <v>201</v>
      </c>
      <c r="T93" s="185">
        <f t="shared" si="19"/>
        <v>1.206</v>
      </c>
    </row>
    <row r="94" spans="1:20" ht="16.5" customHeight="1">
      <c r="A94" s="350"/>
      <c r="B94" s="63"/>
      <c r="C94" s="227" t="s">
        <v>130</v>
      </c>
      <c r="D94" s="56">
        <v>6</v>
      </c>
      <c r="E94" s="57">
        <v>6840</v>
      </c>
      <c r="F94" s="57">
        <v>6942</v>
      </c>
      <c r="G94" s="57">
        <v>7086</v>
      </c>
      <c r="H94" s="58">
        <v>7224</v>
      </c>
      <c r="I94" s="58">
        <v>7428</v>
      </c>
      <c r="J94" s="59">
        <v>7776</v>
      </c>
      <c r="K94" s="49"/>
      <c r="L94" s="180">
        <v>2</v>
      </c>
      <c r="M94" s="181">
        <v>12</v>
      </c>
      <c r="N94" s="174"/>
      <c r="O94" s="182">
        <f t="shared" si="21"/>
        <v>500</v>
      </c>
      <c r="P94" s="183">
        <f t="shared" si="18"/>
        <v>15.552</v>
      </c>
      <c r="Q94" s="184">
        <f t="shared" si="20"/>
        <v>93.312</v>
      </c>
      <c r="R94" s="174"/>
      <c r="S94" s="182">
        <f>40*3+37*3</f>
        <v>231</v>
      </c>
      <c r="T94" s="185">
        <f t="shared" si="19"/>
        <v>1.3860000000000001</v>
      </c>
    </row>
    <row r="95" spans="1:20" ht="16.5" customHeight="1">
      <c r="A95" s="350"/>
      <c r="B95" s="63"/>
      <c r="C95" s="227" t="s">
        <v>131</v>
      </c>
      <c r="D95" s="56">
        <v>6</v>
      </c>
      <c r="E95" s="57">
        <v>6840</v>
      </c>
      <c r="F95" s="57">
        <v>6942</v>
      </c>
      <c r="G95" s="57">
        <v>7086</v>
      </c>
      <c r="H95" s="58">
        <v>7224</v>
      </c>
      <c r="I95" s="58">
        <v>7428</v>
      </c>
      <c r="J95" s="59">
        <v>7776</v>
      </c>
      <c r="K95" s="49"/>
      <c r="L95" s="180">
        <v>2.4</v>
      </c>
      <c r="M95" s="181">
        <v>14.4</v>
      </c>
      <c r="N95" s="174"/>
      <c r="O95" s="182">
        <f t="shared" si="21"/>
        <v>416.6666666666667</v>
      </c>
      <c r="P95" s="183">
        <f t="shared" si="18"/>
        <v>18.662399999999998</v>
      </c>
      <c r="Q95" s="184">
        <f t="shared" si="20"/>
        <v>111.9744</v>
      </c>
      <c r="R95" s="174"/>
      <c r="S95" s="182">
        <f>40*4+36*4</f>
        <v>304</v>
      </c>
      <c r="T95" s="185">
        <f t="shared" si="19"/>
        <v>1.824</v>
      </c>
    </row>
    <row r="96" spans="1:20" ht="16.5" customHeight="1">
      <c r="A96" s="350"/>
      <c r="B96" s="63"/>
      <c r="C96" s="227" t="s">
        <v>132</v>
      </c>
      <c r="D96" s="56">
        <v>6</v>
      </c>
      <c r="E96" s="57">
        <v>6840</v>
      </c>
      <c r="F96" s="57">
        <v>6942</v>
      </c>
      <c r="G96" s="57">
        <v>7086</v>
      </c>
      <c r="H96" s="58">
        <v>7224</v>
      </c>
      <c r="I96" s="58">
        <v>7428</v>
      </c>
      <c r="J96" s="59">
        <v>7776</v>
      </c>
      <c r="K96" s="49"/>
      <c r="L96" s="180">
        <v>2.75</v>
      </c>
      <c r="M96" s="181">
        <v>16.5</v>
      </c>
      <c r="N96" s="174"/>
      <c r="O96" s="182">
        <f t="shared" si="21"/>
        <v>363.6363636363636</v>
      </c>
      <c r="P96" s="183">
        <f t="shared" si="18"/>
        <v>21.384</v>
      </c>
      <c r="Q96" s="184">
        <f t="shared" si="20"/>
        <v>128.304</v>
      </c>
      <c r="R96" s="174"/>
      <c r="S96" s="182">
        <f>45*4+41*4</f>
        <v>344</v>
      </c>
      <c r="T96" s="185">
        <f t="shared" si="19"/>
        <v>2.064</v>
      </c>
    </row>
    <row r="97" spans="1:20" ht="16.5" customHeight="1">
      <c r="A97" s="350"/>
      <c r="B97" s="63"/>
      <c r="C97" s="227" t="s">
        <v>85</v>
      </c>
      <c r="D97" s="56" t="s">
        <v>119</v>
      </c>
      <c r="E97" s="57">
        <v>6660</v>
      </c>
      <c r="F97" s="57">
        <v>6756</v>
      </c>
      <c r="G97" s="57">
        <v>6894</v>
      </c>
      <c r="H97" s="58">
        <v>7032</v>
      </c>
      <c r="I97" s="58">
        <v>7230</v>
      </c>
      <c r="J97" s="59">
        <v>7572</v>
      </c>
      <c r="K97" s="49"/>
      <c r="L97" s="180">
        <v>3.1</v>
      </c>
      <c r="M97" s="181"/>
      <c r="N97" s="174"/>
      <c r="O97" s="182">
        <f t="shared" si="21"/>
        <v>322.5806451612903</v>
      </c>
      <c r="P97" s="183">
        <f t="shared" si="18"/>
        <v>23.473200000000002</v>
      </c>
      <c r="Q97" s="184"/>
      <c r="R97" s="174"/>
      <c r="S97" s="182">
        <f>50*4+46*4</f>
        <v>384</v>
      </c>
      <c r="T97" s="185">
        <f t="shared" si="19"/>
        <v>2.3040000000000003</v>
      </c>
    </row>
    <row r="98" spans="1:20" ht="16.5" customHeight="1" thickBot="1">
      <c r="A98" s="334"/>
      <c r="B98" s="86"/>
      <c r="C98" s="217" t="s">
        <v>86</v>
      </c>
      <c r="D98" s="67" t="s">
        <v>119</v>
      </c>
      <c r="E98" s="68">
        <v>6660</v>
      </c>
      <c r="F98" s="68">
        <v>6756</v>
      </c>
      <c r="G98" s="68">
        <v>6894</v>
      </c>
      <c r="H98" s="69">
        <v>7032</v>
      </c>
      <c r="I98" s="69">
        <v>7230</v>
      </c>
      <c r="J98" s="70">
        <v>7572</v>
      </c>
      <c r="K98" s="49"/>
      <c r="L98" s="186">
        <v>3.7</v>
      </c>
      <c r="M98" s="187"/>
      <c r="N98" s="174"/>
      <c r="O98" s="188">
        <f t="shared" si="21"/>
        <v>270.27027027027026</v>
      </c>
      <c r="P98" s="189">
        <f t="shared" si="18"/>
        <v>28.0164</v>
      </c>
      <c r="Q98" s="190"/>
      <c r="R98" s="174"/>
      <c r="S98" s="182">
        <f>50*5+45*5</f>
        <v>475</v>
      </c>
      <c r="T98" s="191">
        <f t="shared" si="19"/>
        <v>2.85</v>
      </c>
    </row>
    <row r="99" spans="1:20" ht="12" customHeight="1" thickBot="1">
      <c r="A99" s="74"/>
      <c r="B99" s="75"/>
      <c r="C99" s="76"/>
      <c r="D99" s="77"/>
      <c r="E99" s="78"/>
      <c r="F99" s="78"/>
      <c r="G99" s="78"/>
      <c r="H99" s="79"/>
      <c r="I99" s="79"/>
      <c r="J99" s="79"/>
      <c r="K99" s="94"/>
      <c r="L99" s="192"/>
      <c r="M99" s="193"/>
      <c r="N99" s="226"/>
      <c r="O99" s="194"/>
      <c r="P99" s="195"/>
      <c r="Q99" s="196"/>
      <c r="R99" s="226"/>
      <c r="S99" s="194"/>
      <c r="T99" s="197"/>
    </row>
    <row r="100" spans="1:20" ht="16.5" customHeight="1">
      <c r="A100" s="333" t="s">
        <v>133</v>
      </c>
      <c r="B100" s="83"/>
      <c r="C100" s="199" t="s">
        <v>126</v>
      </c>
      <c r="D100" s="46">
        <v>2.5</v>
      </c>
      <c r="E100" s="104">
        <v>5100</v>
      </c>
      <c r="F100" s="104">
        <v>5178</v>
      </c>
      <c r="G100" s="104">
        <v>5280</v>
      </c>
      <c r="H100" s="47">
        <v>5388</v>
      </c>
      <c r="I100" s="47">
        <v>5544</v>
      </c>
      <c r="J100" s="47">
        <v>5802</v>
      </c>
      <c r="K100" s="49"/>
      <c r="L100" s="172">
        <v>2</v>
      </c>
      <c r="M100" s="173">
        <v>5</v>
      </c>
      <c r="N100" s="174"/>
      <c r="O100" s="175">
        <f>1000/L100</f>
        <v>500</v>
      </c>
      <c r="P100" s="176">
        <f>J100*L100/1000</f>
        <v>11.604</v>
      </c>
      <c r="Q100" s="177">
        <f>J100*M100/1000</f>
        <v>29.01</v>
      </c>
      <c r="R100" s="174"/>
      <c r="S100" s="175">
        <f>40*3+37*3</f>
        <v>231</v>
      </c>
      <c r="T100" s="179">
        <f>S100*0.006</f>
        <v>1.3860000000000001</v>
      </c>
    </row>
    <row r="101" spans="1:20" ht="16.5" customHeight="1" thickBot="1">
      <c r="A101" s="334"/>
      <c r="B101" s="86"/>
      <c r="C101" s="217" t="s">
        <v>134</v>
      </c>
      <c r="D101" s="67">
        <v>2.5</v>
      </c>
      <c r="E101" s="68">
        <v>5100</v>
      </c>
      <c r="F101" s="68">
        <v>5178</v>
      </c>
      <c r="G101" s="68">
        <v>5280</v>
      </c>
      <c r="H101" s="69">
        <v>5388</v>
      </c>
      <c r="I101" s="69">
        <v>5544</v>
      </c>
      <c r="J101" s="69">
        <v>5802</v>
      </c>
      <c r="K101" s="49"/>
      <c r="L101" s="186">
        <v>2.3</v>
      </c>
      <c r="M101" s="187">
        <v>5.8</v>
      </c>
      <c r="N101" s="174"/>
      <c r="O101" s="188">
        <f>1000/L101</f>
        <v>434.7826086956522</v>
      </c>
      <c r="P101" s="189">
        <f>J101*L101/1000</f>
        <v>13.344599999999998</v>
      </c>
      <c r="Q101" s="190">
        <f>J101*M101/1000</f>
        <v>33.6516</v>
      </c>
      <c r="R101" s="174"/>
      <c r="S101" s="188">
        <f>50*3+47*3</f>
        <v>291</v>
      </c>
      <c r="T101" s="191">
        <f>S101*0.006</f>
        <v>1.746</v>
      </c>
    </row>
    <row r="102" spans="1:20" ht="12" customHeight="1" thickBot="1">
      <c r="A102" s="74"/>
      <c r="B102" s="75"/>
      <c r="C102" s="76"/>
      <c r="D102" s="77"/>
      <c r="E102" s="78"/>
      <c r="F102" s="78"/>
      <c r="G102" s="78"/>
      <c r="H102" s="79"/>
      <c r="I102" s="79"/>
      <c r="J102" s="79"/>
      <c r="K102" s="94"/>
      <c r="L102" s="192"/>
      <c r="M102" s="193"/>
      <c r="N102" s="226"/>
      <c r="O102" s="194"/>
      <c r="P102" s="195"/>
      <c r="Q102" s="196"/>
      <c r="R102" s="226"/>
      <c r="S102" s="194"/>
      <c r="T102" s="197"/>
    </row>
    <row r="103" spans="1:20" ht="16.5" customHeight="1">
      <c r="A103" s="346" t="s">
        <v>104</v>
      </c>
      <c r="B103" s="87"/>
      <c r="C103" s="199">
        <v>8</v>
      </c>
      <c r="D103" s="46" t="s">
        <v>135</v>
      </c>
      <c r="E103" s="104">
        <v>6840</v>
      </c>
      <c r="F103" s="104">
        <v>6942</v>
      </c>
      <c r="G103" s="104">
        <v>7086</v>
      </c>
      <c r="H103" s="104">
        <v>7224</v>
      </c>
      <c r="I103" s="104">
        <v>7428</v>
      </c>
      <c r="J103" s="201">
        <v>7776</v>
      </c>
      <c r="K103" s="49"/>
      <c r="L103" s="172">
        <v>7.4</v>
      </c>
      <c r="M103" s="173">
        <v>88.8</v>
      </c>
      <c r="N103" s="174"/>
      <c r="O103" s="175">
        <f aca="true" t="shared" si="22" ref="O103:O108">1000/L103</f>
        <v>135.13513513513513</v>
      </c>
      <c r="P103" s="176">
        <f aca="true" t="shared" si="23" ref="P103:P108">J103*L103/1000</f>
        <v>57.5424</v>
      </c>
      <c r="Q103" s="177">
        <f>J103*M103/1000</f>
        <v>690.5088</v>
      </c>
      <c r="R103" s="174"/>
      <c r="S103" s="175">
        <v>898</v>
      </c>
      <c r="T103" s="179">
        <f aca="true" t="shared" si="24" ref="T103:T108">S103*0.006</f>
        <v>5.388</v>
      </c>
    </row>
    <row r="104" spans="1:20" ht="16.5" customHeight="1">
      <c r="A104" s="347"/>
      <c r="B104" s="54"/>
      <c r="C104" s="227">
        <v>10</v>
      </c>
      <c r="D104" s="56" t="s">
        <v>135</v>
      </c>
      <c r="E104" s="57">
        <v>6840</v>
      </c>
      <c r="F104" s="57">
        <v>6942</v>
      </c>
      <c r="G104" s="57">
        <v>7086</v>
      </c>
      <c r="H104" s="57">
        <v>7224</v>
      </c>
      <c r="I104" s="57">
        <v>7428</v>
      </c>
      <c r="J104" s="106">
        <v>7776</v>
      </c>
      <c r="K104" s="49"/>
      <c r="L104" s="180">
        <v>8.6</v>
      </c>
      <c r="M104" s="181">
        <v>103.2</v>
      </c>
      <c r="N104" s="174"/>
      <c r="O104" s="182">
        <f t="shared" si="22"/>
        <v>116.27906976744187</v>
      </c>
      <c r="P104" s="183">
        <f t="shared" si="23"/>
        <v>66.8736</v>
      </c>
      <c r="Q104" s="184">
        <f>I104*M104/1000</f>
        <v>766.5695999999999</v>
      </c>
      <c r="R104" s="174"/>
      <c r="S104" s="182">
        <v>1090</v>
      </c>
      <c r="T104" s="185">
        <f t="shared" si="24"/>
        <v>6.54</v>
      </c>
    </row>
    <row r="105" spans="1:20" ht="16.5" customHeight="1">
      <c r="A105" s="347"/>
      <c r="B105" s="54"/>
      <c r="C105" s="227">
        <v>12</v>
      </c>
      <c r="D105" s="56" t="s">
        <v>135</v>
      </c>
      <c r="E105" s="57">
        <v>7440</v>
      </c>
      <c r="F105" s="57">
        <v>7548</v>
      </c>
      <c r="G105" s="57">
        <v>7704</v>
      </c>
      <c r="H105" s="57">
        <v>7854</v>
      </c>
      <c r="I105" s="57">
        <v>8082</v>
      </c>
      <c r="J105" s="106">
        <v>8454</v>
      </c>
      <c r="K105" s="49"/>
      <c r="L105" s="180">
        <v>10.43</v>
      </c>
      <c r="M105" s="181">
        <v>125.2</v>
      </c>
      <c r="N105" s="174"/>
      <c r="O105" s="182">
        <f t="shared" si="22"/>
        <v>95.87727708533077</v>
      </c>
      <c r="P105" s="183">
        <f t="shared" si="23"/>
        <v>88.17522</v>
      </c>
      <c r="Q105" s="184">
        <f>I105*M105/1000</f>
        <v>1011.8664</v>
      </c>
      <c r="R105" s="174"/>
      <c r="S105" s="182">
        <v>1330</v>
      </c>
      <c r="T105" s="185">
        <f t="shared" si="24"/>
        <v>7.98</v>
      </c>
    </row>
    <row r="106" spans="1:20" ht="16.5" customHeight="1">
      <c r="A106" s="347"/>
      <c r="B106" s="54"/>
      <c r="C106" s="227">
        <v>14</v>
      </c>
      <c r="D106" s="56">
        <v>12</v>
      </c>
      <c r="E106" s="57">
        <v>7440</v>
      </c>
      <c r="F106" s="57">
        <v>7548</v>
      </c>
      <c r="G106" s="57">
        <v>7704</v>
      </c>
      <c r="H106" s="58">
        <v>7854</v>
      </c>
      <c r="I106" s="58">
        <v>8082</v>
      </c>
      <c r="J106" s="59">
        <v>8454</v>
      </c>
      <c r="K106" s="49"/>
      <c r="L106" s="180">
        <v>12.3</v>
      </c>
      <c r="M106" s="181">
        <v>147.6</v>
      </c>
      <c r="N106" s="174"/>
      <c r="O106" s="182">
        <f t="shared" si="22"/>
        <v>81.30081300813008</v>
      </c>
      <c r="P106" s="183">
        <f t="shared" si="23"/>
        <v>103.98420000000002</v>
      </c>
      <c r="Q106" s="184">
        <f>I106*M106/1000</f>
        <v>1192.9032</v>
      </c>
      <c r="R106" s="174"/>
      <c r="S106" s="182">
        <v>1560</v>
      </c>
      <c r="T106" s="185">
        <f t="shared" si="24"/>
        <v>9.36</v>
      </c>
    </row>
    <row r="107" spans="1:20" ht="16.5" customHeight="1">
      <c r="A107" s="347"/>
      <c r="B107" s="63"/>
      <c r="C107" s="227">
        <v>16</v>
      </c>
      <c r="D107" s="56">
        <v>12</v>
      </c>
      <c r="E107" s="57">
        <v>7440</v>
      </c>
      <c r="F107" s="57">
        <v>7548</v>
      </c>
      <c r="G107" s="57">
        <v>7704</v>
      </c>
      <c r="H107" s="58">
        <v>7854</v>
      </c>
      <c r="I107" s="58">
        <v>8082</v>
      </c>
      <c r="J107" s="59">
        <v>8454</v>
      </c>
      <c r="K107" s="49"/>
      <c r="L107" s="180">
        <v>14.23</v>
      </c>
      <c r="M107" s="181">
        <v>170.8</v>
      </c>
      <c r="N107" s="174"/>
      <c r="O107" s="182">
        <f t="shared" si="22"/>
        <v>70.27406886858749</v>
      </c>
      <c r="P107" s="183">
        <f t="shared" si="23"/>
        <v>120.30042</v>
      </c>
      <c r="Q107" s="184">
        <f>I107*M107/1000</f>
        <v>1380.4056</v>
      </c>
      <c r="R107" s="174"/>
      <c r="S107" s="182">
        <v>1810</v>
      </c>
      <c r="T107" s="185">
        <f t="shared" si="24"/>
        <v>10.86</v>
      </c>
    </row>
    <row r="108" spans="1:20" ht="16.5" customHeight="1" thickBot="1">
      <c r="A108" s="348"/>
      <c r="B108" s="86"/>
      <c r="C108" s="217">
        <v>18</v>
      </c>
      <c r="D108" s="67">
        <v>12</v>
      </c>
      <c r="E108" s="68">
        <v>7440</v>
      </c>
      <c r="F108" s="68">
        <v>7548</v>
      </c>
      <c r="G108" s="68">
        <v>7704</v>
      </c>
      <c r="H108" s="68">
        <v>7854</v>
      </c>
      <c r="I108" s="68">
        <v>8082</v>
      </c>
      <c r="J108" s="108">
        <v>8454</v>
      </c>
      <c r="K108" s="49"/>
      <c r="L108" s="186">
        <v>16.3</v>
      </c>
      <c r="M108" s="187">
        <v>195.6</v>
      </c>
      <c r="N108" s="174"/>
      <c r="O108" s="188">
        <f t="shared" si="22"/>
        <v>61.349693251533736</v>
      </c>
      <c r="P108" s="189">
        <f t="shared" si="23"/>
        <v>137.80020000000002</v>
      </c>
      <c r="Q108" s="190">
        <f>I108*M108/1000</f>
        <v>1580.8392</v>
      </c>
      <c r="R108" s="174"/>
      <c r="S108" s="182">
        <v>2070</v>
      </c>
      <c r="T108" s="191">
        <f t="shared" si="24"/>
        <v>12.42</v>
      </c>
    </row>
    <row r="109" spans="1:20" ht="12" customHeight="1" thickBot="1">
      <c r="A109" s="74"/>
      <c r="B109" s="75"/>
      <c r="C109" s="76"/>
      <c r="D109" s="77"/>
      <c r="E109" s="78"/>
      <c r="F109" s="78"/>
      <c r="G109" s="78"/>
      <c r="H109" s="79"/>
      <c r="I109" s="79"/>
      <c r="J109" s="79"/>
      <c r="K109" s="94"/>
      <c r="L109" s="192"/>
      <c r="M109" s="193"/>
      <c r="N109" s="226"/>
      <c r="O109" s="194"/>
      <c r="P109" s="195"/>
      <c r="Q109" s="196"/>
      <c r="R109" s="226"/>
      <c r="S109" s="194"/>
      <c r="T109" s="197"/>
    </row>
    <row r="110" spans="1:20" ht="16.5" customHeight="1">
      <c r="A110" s="149" t="s">
        <v>137</v>
      </c>
      <c r="B110" s="83"/>
      <c r="C110" s="199">
        <v>10</v>
      </c>
      <c r="D110" s="46" t="s">
        <v>138</v>
      </c>
      <c r="E110" s="245">
        <v>7200</v>
      </c>
      <c r="F110" s="245">
        <v>7308</v>
      </c>
      <c r="G110" s="245">
        <v>7458</v>
      </c>
      <c r="H110" s="246">
        <v>7602</v>
      </c>
      <c r="I110" s="246">
        <v>7824</v>
      </c>
      <c r="J110" s="246">
        <v>8190</v>
      </c>
      <c r="K110" s="49"/>
      <c r="L110" s="172">
        <v>0.8</v>
      </c>
      <c r="M110" s="173">
        <v>4.8</v>
      </c>
      <c r="N110" s="174"/>
      <c r="O110" s="175">
        <f>1000/L110</f>
        <v>1250</v>
      </c>
      <c r="P110" s="176">
        <f>J110*L110/1000</f>
        <v>6.552</v>
      </c>
      <c r="Q110" s="177">
        <f>J110*M110/1000</f>
        <v>39.312</v>
      </c>
      <c r="R110" s="174"/>
      <c r="S110" s="175">
        <f>10^2</f>
        <v>100</v>
      </c>
      <c r="T110" s="179">
        <f>S110*0.006</f>
        <v>0.6</v>
      </c>
    </row>
    <row r="111" spans="1:20" ht="16.5" customHeight="1">
      <c r="A111" s="321"/>
      <c r="B111" s="63"/>
      <c r="C111" s="227">
        <v>12</v>
      </c>
      <c r="D111" s="228" t="s">
        <v>138</v>
      </c>
      <c r="E111" s="248">
        <v>7200</v>
      </c>
      <c r="F111" s="248">
        <v>7308</v>
      </c>
      <c r="G111" s="248">
        <v>7458</v>
      </c>
      <c r="H111" s="249">
        <v>7602</v>
      </c>
      <c r="I111" s="249">
        <v>7824</v>
      </c>
      <c r="J111" s="249">
        <v>8190</v>
      </c>
      <c r="K111" s="49"/>
      <c r="L111" s="180">
        <v>1.14</v>
      </c>
      <c r="M111" s="181">
        <v>6.9</v>
      </c>
      <c r="N111" s="174"/>
      <c r="O111" s="182">
        <f>1000/L111</f>
        <v>877.1929824561404</v>
      </c>
      <c r="P111" s="183">
        <f>J111*L111/1000</f>
        <v>9.336599999999999</v>
      </c>
      <c r="Q111" s="184">
        <f>J111*M111/1000</f>
        <v>56.511</v>
      </c>
      <c r="R111" s="174"/>
      <c r="S111" s="182">
        <f>12^2</f>
        <v>144</v>
      </c>
      <c r="T111" s="185">
        <f>S111*0.006</f>
        <v>0.864</v>
      </c>
    </row>
    <row r="112" spans="1:20" ht="16.5" customHeight="1">
      <c r="A112" s="321"/>
      <c r="B112" s="63"/>
      <c r="C112" s="227">
        <v>14</v>
      </c>
      <c r="D112" s="228" t="s">
        <v>138</v>
      </c>
      <c r="E112" s="248">
        <v>7200</v>
      </c>
      <c r="F112" s="248">
        <v>7308</v>
      </c>
      <c r="G112" s="248">
        <v>7458</v>
      </c>
      <c r="H112" s="249">
        <v>7602</v>
      </c>
      <c r="I112" s="249">
        <v>7824</v>
      </c>
      <c r="J112" s="249">
        <v>8190</v>
      </c>
      <c r="K112" s="49"/>
      <c r="L112" s="180">
        <v>1.54</v>
      </c>
      <c r="M112" s="181">
        <v>9.3</v>
      </c>
      <c r="N112" s="174"/>
      <c r="O112" s="182">
        <f>1000/L112</f>
        <v>649.3506493506493</v>
      </c>
      <c r="P112" s="183">
        <f>J112*L112/1000</f>
        <v>12.6126</v>
      </c>
      <c r="Q112" s="184">
        <f>J112*M112/1000</f>
        <v>76.167</v>
      </c>
      <c r="R112" s="174"/>
      <c r="S112" s="182">
        <f>14^2</f>
        <v>196</v>
      </c>
      <c r="T112" s="185">
        <f>S112*0.006</f>
        <v>1.176</v>
      </c>
    </row>
    <row r="113" spans="1:20" ht="16.5" customHeight="1" thickBot="1">
      <c r="A113" s="322"/>
      <c r="B113" s="86"/>
      <c r="C113" s="217">
        <v>16</v>
      </c>
      <c r="D113" s="229" t="s">
        <v>138</v>
      </c>
      <c r="E113" s="68">
        <v>7200</v>
      </c>
      <c r="F113" s="68">
        <v>7308</v>
      </c>
      <c r="G113" s="68">
        <v>7458</v>
      </c>
      <c r="H113" s="69">
        <v>7602</v>
      </c>
      <c r="I113" s="69">
        <v>7824</v>
      </c>
      <c r="J113" s="69">
        <v>8190</v>
      </c>
      <c r="K113" s="49"/>
      <c r="L113" s="186">
        <v>2.01</v>
      </c>
      <c r="M113" s="187">
        <v>12.1</v>
      </c>
      <c r="N113" s="174"/>
      <c r="O113" s="188">
        <f>1000/L113</f>
        <v>497.5124378109453</v>
      </c>
      <c r="P113" s="189">
        <f>J113*L113/1000</f>
        <v>16.461899999999996</v>
      </c>
      <c r="Q113" s="190">
        <f>J113*M113/1000</f>
        <v>99.099</v>
      </c>
      <c r="R113" s="174"/>
      <c r="S113" s="188">
        <f>16^2</f>
        <v>256</v>
      </c>
      <c r="T113" s="191">
        <f>S113*0.006</f>
        <v>1.536</v>
      </c>
    </row>
    <row r="114" spans="1:20" ht="12" customHeight="1" thickBot="1">
      <c r="A114" s="74"/>
      <c r="B114" s="75"/>
      <c r="C114" s="76"/>
      <c r="D114" s="77"/>
      <c r="E114" s="78"/>
      <c r="F114" s="78"/>
      <c r="G114" s="78"/>
      <c r="H114" s="79"/>
      <c r="I114" s="79"/>
      <c r="J114" s="79"/>
      <c r="K114" s="94"/>
      <c r="L114" s="192"/>
      <c r="M114" s="193"/>
      <c r="N114" s="226"/>
      <c r="O114" s="194"/>
      <c r="P114" s="195"/>
      <c r="Q114" s="196"/>
      <c r="R114" s="226"/>
      <c r="S114" s="194"/>
      <c r="T114" s="197"/>
    </row>
    <row r="115" spans="1:20" ht="16.5" customHeight="1">
      <c r="A115" s="149" t="s">
        <v>139</v>
      </c>
      <c r="B115" s="83"/>
      <c r="C115" s="135" t="s">
        <v>140</v>
      </c>
      <c r="D115" s="46">
        <v>6</v>
      </c>
      <c r="E115" s="245">
        <v>7200</v>
      </c>
      <c r="F115" s="245">
        <v>7308</v>
      </c>
      <c r="G115" s="245">
        <v>7458</v>
      </c>
      <c r="H115" s="246">
        <v>7602</v>
      </c>
      <c r="I115" s="246">
        <v>7824</v>
      </c>
      <c r="J115" s="246">
        <v>8190</v>
      </c>
      <c r="K115" s="49"/>
      <c r="L115" s="172">
        <v>0.63</v>
      </c>
      <c r="M115" s="173">
        <v>3.8</v>
      </c>
      <c r="N115" s="174"/>
      <c r="O115" s="175">
        <f>1000/L115</f>
        <v>1587.3015873015872</v>
      </c>
      <c r="P115" s="176">
        <f>J115*L115/1000</f>
        <v>5.1597</v>
      </c>
      <c r="Q115" s="177">
        <f>J115*M115/1000</f>
        <v>31.122</v>
      </c>
      <c r="R115" s="174"/>
      <c r="S115" s="175">
        <f>20*4</f>
        <v>80</v>
      </c>
      <c r="T115" s="179">
        <f>S115*0.006</f>
        <v>0.48</v>
      </c>
    </row>
    <row r="116" spans="1:20" ht="16.5" customHeight="1">
      <c r="A116" s="321"/>
      <c r="B116" s="63"/>
      <c r="C116" s="136" t="s">
        <v>141</v>
      </c>
      <c r="D116" s="56">
        <v>6</v>
      </c>
      <c r="E116" s="57">
        <v>7200</v>
      </c>
      <c r="F116" s="57">
        <v>7308</v>
      </c>
      <c r="G116" s="57">
        <v>7458</v>
      </c>
      <c r="H116" s="58">
        <v>7602</v>
      </c>
      <c r="I116" s="58">
        <v>7824</v>
      </c>
      <c r="J116" s="58">
        <v>8190</v>
      </c>
      <c r="K116" s="49"/>
      <c r="L116" s="180">
        <v>0.8</v>
      </c>
      <c r="M116" s="181">
        <v>4.8</v>
      </c>
      <c r="N116" s="174"/>
      <c r="O116" s="182">
        <f>1000/L116</f>
        <v>1250</v>
      </c>
      <c r="P116" s="183">
        <f>J116*L116/1000</f>
        <v>6.552</v>
      </c>
      <c r="Q116" s="184">
        <f>J116*M116/1000</f>
        <v>39.312</v>
      </c>
      <c r="R116" s="174"/>
      <c r="S116" s="182">
        <f>25*4</f>
        <v>100</v>
      </c>
      <c r="T116" s="185">
        <f>S116*0.006</f>
        <v>0.6</v>
      </c>
    </row>
    <row r="117" spans="1:20" ht="16.5" customHeight="1">
      <c r="A117" s="321"/>
      <c r="B117" s="63"/>
      <c r="C117" s="136" t="s">
        <v>142</v>
      </c>
      <c r="D117" s="56">
        <v>6</v>
      </c>
      <c r="E117" s="57">
        <v>7200</v>
      </c>
      <c r="F117" s="57">
        <v>7308</v>
      </c>
      <c r="G117" s="57">
        <v>7458</v>
      </c>
      <c r="H117" s="58">
        <v>7602</v>
      </c>
      <c r="I117" s="58">
        <v>7824</v>
      </c>
      <c r="J117" s="58">
        <v>8190</v>
      </c>
      <c r="K117" s="49"/>
      <c r="L117" s="180">
        <v>0.94</v>
      </c>
      <c r="M117" s="181">
        <v>5.7</v>
      </c>
      <c r="N117" s="174"/>
      <c r="O117" s="182">
        <f>1000/L117</f>
        <v>1063.8297872340427</v>
      </c>
      <c r="P117" s="183">
        <f>J117*L117/1000</f>
        <v>7.6986</v>
      </c>
      <c r="Q117" s="184">
        <f>J117*M117/1000</f>
        <v>46.683</v>
      </c>
      <c r="R117" s="174"/>
      <c r="S117" s="182">
        <f>30*4</f>
        <v>120</v>
      </c>
      <c r="T117" s="185">
        <f>S117*0.006</f>
        <v>0.72</v>
      </c>
    </row>
    <row r="118" spans="1:20" ht="16.5" customHeight="1">
      <c r="A118" s="321"/>
      <c r="B118" s="63"/>
      <c r="C118" s="136" t="s">
        <v>143</v>
      </c>
      <c r="D118" s="56">
        <v>6</v>
      </c>
      <c r="E118" s="57">
        <v>7200</v>
      </c>
      <c r="F118" s="57">
        <v>7308</v>
      </c>
      <c r="G118" s="57">
        <v>7458</v>
      </c>
      <c r="H118" s="58">
        <v>7602</v>
      </c>
      <c r="I118" s="58">
        <v>7824</v>
      </c>
      <c r="J118" s="58">
        <v>8190</v>
      </c>
      <c r="K118" s="49"/>
      <c r="L118" s="180">
        <v>1.3</v>
      </c>
      <c r="M118" s="181">
        <v>7.8</v>
      </c>
      <c r="N118" s="174"/>
      <c r="O118" s="182">
        <f>1000/L118</f>
        <v>769.2307692307692</v>
      </c>
      <c r="P118" s="183">
        <f>J118*L118/1000</f>
        <v>10.647</v>
      </c>
      <c r="Q118" s="184">
        <f>J118*M118/1000</f>
        <v>63.882</v>
      </c>
      <c r="R118" s="174"/>
      <c r="S118" s="182">
        <f>40*4</f>
        <v>160</v>
      </c>
      <c r="T118" s="185">
        <f>S118*0.006</f>
        <v>0.96</v>
      </c>
    </row>
    <row r="119" spans="1:20" ht="16.5" customHeight="1" thickBot="1">
      <c r="A119" s="322"/>
      <c r="B119" s="86"/>
      <c r="C119" s="66" t="s">
        <v>144</v>
      </c>
      <c r="D119" s="67">
        <v>6</v>
      </c>
      <c r="E119" s="68">
        <v>7200</v>
      </c>
      <c r="F119" s="68">
        <v>7308</v>
      </c>
      <c r="G119" s="68">
        <v>7458</v>
      </c>
      <c r="H119" s="69">
        <v>7602</v>
      </c>
      <c r="I119" s="69">
        <v>7824</v>
      </c>
      <c r="J119" s="69">
        <v>8190</v>
      </c>
      <c r="K119" s="49"/>
      <c r="L119" s="186">
        <v>1.6</v>
      </c>
      <c r="M119" s="187">
        <v>9.6</v>
      </c>
      <c r="N119" s="174"/>
      <c r="O119" s="188">
        <f>1000/L119</f>
        <v>625</v>
      </c>
      <c r="P119" s="189">
        <f>J119*L119/1000</f>
        <v>13.104</v>
      </c>
      <c r="Q119" s="190">
        <f>J119*M119/1000</f>
        <v>78.624</v>
      </c>
      <c r="R119" s="174"/>
      <c r="S119" s="188">
        <f>50*4</f>
        <v>200</v>
      </c>
      <c r="T119" s="191">
        <f>S119*0.006</f>
        <v>1.2</v>
      </c>
    </row>
    <row r="120" spans="1:20" ht="12" customHeight="1" thickBot="1">
      <c r="A120" s="111"/>
      <c r="B120" s="112"/>
      <c r="C120" s="113"/>
      <c r="D120" s="114"/>
      <c r="E120" s="115"/>
      <c r="F120" s="115"/>
      <c r="G120" s="115"/>
      <c r="H120" s="116"/>
      <c r="I120" s="116"/>
      <c r="J120" s="116"/>
      <c r="K120" s="117"/>
      <c r="L120" s="230"/>
      <c r="M120" s="231"/>
      <c r="N120" s="232"/>
      <c r="O120" s="233"/>
      <c r="P120" s="234"/>
      <c r="Q120" s="231"/>
      <c r="R120" s="232"/>
      <c r="S120" s="233"/>
      <c r="T120" s="235"/>
    </row>
    <row r="121" spans="1:10" ht="6.75" customHeight="1">
      <c r="A121" s="137"/>
      <c r="B121" s="17"/>
      <c r="C121" s="18"/>
      <c r="D121" s="18"/>
      <c r="E121" s="13"/>
      <c r="F121" s="13"/>
      <c r="G121" s="13"/>
      <c r="H121" s="13"/>
      <c r="I121" s="13"/>
      <c r="J121" s="13"/>
    </row>
    <row r="122" spans="1:13" ht="18" customHeight="1">
      <c r="A122" s="138" t="s">
        <v>66</v>
      </c>
      <c r="B122" s="20"/>
      <c r="C122" s="20"/>
      <c r="D122" s="20"/>
      <c r="E122" s="13"/>
      <c r="F122" s="13"/>
      <c r="G122" s="13"/>
      <c r="H122" s="13"/>
      <c r="I122" s="13"/>
      <c r="J122" s="13"/>
      <c r="K122" s="7"/>
      <c r="L122" s="236"/>
      <c r="M122" s="236"/>
    </row>
    <row r="123" spans="1:13" ht="18" customHeight="1">
      <c r="A123" s="139" t="s">
        <v>67</v>
      </c>
      <c r="B123" s="17"/>
      <c r="C123" s="18"/>
      <c r="D123" s="18"/>
      <c r="E123" s="13"/>
      <c r="F123" s="13"/>
      <c r="G123" s="13"/>
      <c r="H123" s="13"/>
      <c r="I123" s="13"/>
      <c r="J123" s="13"/>
      <c r="K123" s="7"/>
      <c r="L123" s="236"/>
      <c r="M123" s="236"/>
    </row>
  </sheetData>
  <mergeCells count="49">
    <mergeCell ref="S6:T6"/>
    <mergeCell ref="R10:S10"/>
    <mergeCell ref="P11:S11"/>
    <mergeCell ref="P6:R6"/>
    <mergeCell ref="A13:J13"/>
    <mergeCell ref="L13:T13"/>
    <mergeCell ref="A15:D15"/>
    <mergeCell ref="E15:J15"/>
    <mergeCell ref="L15:M15"/>
    <mergeCell ref="P15:Q15"/>
    <mergeCell ref="T16:T17"/>
    <mergeCell ref="A18:A27"/>
    <mergeCell ref="A29:A48"/>
    <mergeCell ref="M16:M17"/>
    <mergeCell ref="O16:O17"/>
    <mergeCell ref="P16:P17"/>
    <mergeCell ref="Q16:Q17"/>
    <mergeCell ref="L16:L17"/>
    <mergeCell ref="A16:A17"/>
    <mergeCell ref="B16:B17"/>
    <mergeCell ref="A50:A57"/>
    <mergeCell ref="A59:A61"/>
    <mergeCell ref="A64:J64"/>
    <mergeCell ref="S16:S17"/>
    <mergeCell ref="C16:C17"/>
    <mergeCell ref="D16:D17"/>
    <mergeCell ref="C67:C68"/>
    <mergeCell ref="D67:D68"/>
    <mergeCell ref="L64:T64"/>
    <mergeCell ref="A66:D66"/>
    <mergeCell ref="E66:J66"/>
    <mergeCell ref="L66:M66"/>
    <mergeCell ref="P66:Q66"/>
    <mergeCell ref="S67:S68"/>
    <mergeCell ref="T67:T68"/>
    <mergeCell ref="A69:A74"/>
    <mergeCell ref="M67:M68"/>
    <mergeCell ref="O67:O68"/>
    <mergeCell ref="P67:P68"/>
    <mergeCell ref="Q67:Q68"/>
    <mergeCell ref="L67:L68"/>
    <mergeCell ref="A67:A68"/>
    <mergeCell ref="B67:B68"/>
    <mergeCell ref="A110:A113"/>
    <mergeCell ref="A115:A119"/>
    <mergeCell ref="A76:A80"/>
    <mergeCell ref="A82:A98"/>
    <mergeCell ref="A100:A101"/>
    <mergeCell ref="A103:A10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zoomScale="75" zoomScaleNormal="75" workbookViewId="0" topLeftCell="A1">
      <selection activeCell="A1" sqref="A1"/>
    </sheetView>
  </sheetViews>
  <sheetFormatPr defaultColWidth="9.140625" defaultRowHeight="12.75" outlineLevelRow="1" outlineLevelCol="1"/>
  <cols>
    <col min="1" max="1" width="17.57421875" style="0" customWidth="1"/>
    <col min="2" max="2" width="7.7109375" style="0" customWidth="1"/>
    <col min="3" max="3" width="16.7109375" style="0" customWidth="1"/>
    <col min="4" max="4" width="10.8515625" style="0" customWidth="1"/>
    <col min="5" max="5" width="15.7109375" style="11" customWidth="1"/>
    <col min="6" max="7" width="13.7109375" style="11" customWidth="1"/>
    <col min="8" max="10" width="14.7109375" style="11" customWidth="1"/>
    <col min="11" max="11" width="1.7109375" style="12" customWidth="1"/>
    <col min="12" max="13" width="9.7109375" style="28" customWidth="1"/>
    <col min="14" max="14" width="1.7109375" style="12" customWidth="1"/>
    <col min="15" max="15" width="9.8515625" style="28" bestFit="1" customWidth="1"/>
    <col min="16" max="17" width="10.7109375" style="28" customWidth="1"/>
    <col min="18" max="18" width="1.7109375" style="0" customWidth="1"/>
    <col min="19" max="19" width="10.421875" style="0" hidden="1" customWidth="1" outlineLevel="1"/>
    <col min="20" max="20" width="17.7109375" style="143" customWidth="1" collapsed="1"/>
  </cols>
  <sheetData>
    <row r="1" spans="1:20" ht="14.25" customHeight="1">
      <c r="A1" s="7"/>
      <c r="B1" s="7"/>
      <c r="C1" s="8"/>
      <c r="D1" s="8"/>
      <c r="E1" s="9"/>
      <c r="F1" s="9"/>
      <c r="G1" s="9"/>
      <c r="H1" s="9"/>
      <c r="I1" s="9"/>
      <c r="J1" s="10"/>
      <c r="P1" s="9" t="s">
        <v>11</v>
      </c>
      <c r="Q1" s="9"/>
      <c r="R1" s="10"/>
      <c r="S1" s="10"/>
      <c r="T1" s="10"/>
    </row>
    <row r="2" spans="1:20" ht="14.25" customHeight="1">
      <c r="A2" s="7"/>
      <c r="B2" s="7"/>
      <c r="C2" s="8"/>
      <c r="D2" s="8"/>
      <c r="E2" s="9"/>
      <c r="F2" s="9"/>
      <c r="G2" s="9"/>
      <c r="H2" s="9"/>
      <c r="I2" s="9"/>
      <c r="J2" s="10"/>
      <c r="P2" s="9" t="s">
        <v>12</v>
      </c>
      <c r="Q2" s="9"/>
      <c r="R2" s="10"/>
      <c r="S2" s="10"/>
      <c r="T2" s="10"/>
    </row>
    <row r="3" spans="1:20" ht="14.25" customHeight="1">
      <c r="A3" s="7"/>
      <c r="B3" s="7"/>
      <c r="C3" s="8"/>
      <c r="D3" s="8"/>
      <c r="E3" s="10"/>
      <c r="F3" s="10"/>
      <c r="G3" s="10"/>
      <c r="H3" s="10"/>
      <c r="I3" s="10"/>
      <c r="J3" s="10"/>
      <c r="P3" s="10" t="s">
        <v>13</v>
      </c>
      <c r="Q3" s="10"/>
      <c r="R3" s="13"/>
      <c r="S3" s="10"/>
      <c r="T3" s="142"/>
    </row>
    <row r="4" spans="1:20" ht="14.25" customHeight="1">
      <c r="A4" s="7"/>
      <c r="B4" s="7"/>
      <c r="C4" s="8"/>
      <c r="D4" s="8"/>
      <c r="E4" s="13"/>
      <c r="F4" s="13"/>
      <c r="G4" s="13"/>
      <c r="H4" s="14"/>
      <c r="I4" s="171"/>
      <c r="J4" s="7"/>
      <c r="P4" s="14" t="s">
        <v>14</v>
      </c>
      <c r="Q4" s="14"/>
      <c r="R4" s="13"/>
      <c r="S4" s="13"/>
      <c r="T4" s="142"/>
    </row>
    <row r="5" spans="1:20" ht="14.25" customHeight="1">
      <c r="A5" s="7"/>
      <c r="B5" s="7"/>
      <c r="C5" s="8"/>
      <c r="D5" s="8"/>
      <c r="E5" s="15"/>
      <c r="F5" s="15"/>
      <c r="G5" s="15"/>
      <c r="H5" s="13"/>
      <c r="I5" s="7"/>
      <c r="J5" s="7"/>
      <c r="P5" s="13"/>
      <c r="Q5" s="13"/>
      <c r="R5" s="13"/>
      <c r="S5" s="13"/>
      <c r="T5" s="142"/>
    </row>
    <row r="6" spans="1:20" ht="14.25" customHeight="1">
      <c r="A6" s="7"/>
      <c r="B6" s="7"/>
      <c r="C6" s="8"/>
      <c r="D6" s="8"/>
      <c r="E6" s="15"/>
      <c r="F6" s="15"/>
      <c r="G6" s="15"/>
      <c r="H6" s="10"/>
      <c r="I6" s="10"/>
      <c r="J6" s="10"/>
      <c r="P6" s="320"/>
      <c r="Q6" s="320"/>
      <c r="R6" s="320"/>
      <c r="S6" s="148" t="s">
        <v>15</v>
      </c>
      <c r="T6" s="148"/>
    </row>
    <row r="7" spans="1:10" ht="14.25" customHeight="1">
      <c r="A7" s="7"/>
      <c r="B7" s="7"/>
      <c r="C7" s="8"/>
      <c r="D7" s="8"/>
      <c r="E7" s="15"/>
      <c r="F7" s="15"/>
      <c r="G7" s="15"/>
      <c r="H7" s="15"/>
      <c r="I7" s="15"/>
      <c r="J7" s="15"/>
    </row>
    <row r="8" spans="1:10" ht="19.5" customHeight="1">
      <c r="A8" s="16" t="s">
        <v>16</v>
      </c>
      <c r="B8" s="17"/>
      <c r="C8" s="18"/>
      <c r="D8" s="18"/>
      <c r="E8" s="19"/>
      <c r="F8" s="19"/>
      <c r="G8" s="19"/>
      <c r="H8" s="19"/>
      <c r="I8" s="19"/>
      <c r="J8" s="19"/>
    </row>
    <row r="9" spans="1:10" ht="13.5" customHeight="1">
      <c r="A9" s="16"/>
      <c r="B9" s="17"/>
      <c r="C9" s="18"/>
      <c r="D9" s="18"/>
      <c r="E9" s="19"/>
      <c r="F9" s="19"/>
      <c r="G9" s="19"/>
      <c r="H9" s="19"/>
      <c r="I9" s="19"/>
      <c r="J9" s="19"/>
    </row>
    <row r="10" spans="1:10" ht="14.25" customHeight="1">
      <c r="A10" s="20" t="s">
        <v>17</v>
      </c>
      <c r="B10" s="20"/>
      <c r="C10" s="20"/>
      <c r="D10" s="20"/>
      <c r="E10" s="19"/>
      <c r="F10" s="19"/>
      <c r="G10" s="19"/>
      <c r="H10" s="19"/>
      <c r="I10" s="19"/>
      <c r="J10" s="19"/>
    </row>
    <row r="11" spans="1:10" ht="14.25" customHeight="1">
      <c r="A11" s="20" t="s">
        <v>18</v>
      </c>
      <c r="B11" s="20"/>
      <c r="C11" s="20"/>
      <c r="D11" s="20"/>
      <c r="E11" s="19"/>
      <c r="F11" s="19"/>
      <c r="G11" s="19"/>
      <c r="H11" s="19"/>
      <c r="I11" s="19"/>
      <c r="J11" s="19"/>
    </row>
    <row r="12" spans="1:20" ht="14.25" customHeight="1">
      <c r="A12" s="21"/>
      <c r="B12" s="17"/>
      <c r="C12" s="18"/>
      <c r="D12" s="18"/>
      <c r="E12" s="22"/>
      <c r="F12" s="22"/>
      <c r="G12" s="22"/>
      <c r="H12" s="24"/>
      <c r="I12" s="24"/>
      <c r="J12" s="292"/>
      <c r="L12" s="251"/>
      <c r="M12" s="251"/>
      <c r="N12" s="251"/>
      <c r="O12" s="252"/>
      <c r="P12" s="318" t="s">
        <v>19</v>
      </c>
      <c r="Q12" s="318"/>
      <c r="R12" s="318"/>
      <c r="S12" s="363">
        <v>41358</v>
      </c>
      <c r="T12" s="363"/>
    </row>
    <row r="13" spans="1:17" ht="14.25" customHeight="1" thickBot="1">
      <c r="A13" s="29"/>
      <c r="B13" s="30"/>
      <c r="C13" s="31"/>
      <c r="D13" s="31"/>
      <c r="E13" s="32"/>
      <c r="F13" s="32"/>
      <c r="G13" s="32"/>
      <c r="H13" s="253"/>
      <c r="I13" s="254"/>
      <c r="J13" s="254"/>
      <c r="L13" s="252"/>
      <c r="M13" s="252"/>
      <c r="N13" s="252"/>
      <c r="O13" s="252"/>
      <c r="P13" s="252"/>
      <c r="Q13" s="252"/>
    </row>
    <row r="14" spans="1:20" ht="18" customHeight="1">
      <c r="A14" s="362" t="s">
        <v>145</v>
      </c>
      <c r="B14" s="362"/>
      <c r="C14" s="362"/>
      <c r="D14" s="362"/>
      <c r="E14" s="362"/>
      <c r="F14" s="362"/>
      <c r="G14" s="362"/>
      <c r="H14" s="362"/>
      <c r="I14" s="362"/>
      <c r="J14" s="362"/>
      <c r="L14" s="307" t="s">
        <v>71</v>
      </c>
      <c r="M14" s="308"/>
      <c r="N14" s="308"/>
      <c r="O14" s="308"/>
      <c r="P14" s="308"/>
      <c r="Q14" s="308"/>
      <c r="R14" s="308"/>
      <c r="S14" s="308"/>
      <c r="T14" s="309"/>
    </row>
    <row r="15" spans="1:20" ht="13.5" customHeight="1" thickBot="1">
      <c r="A15" s="29"/>
      <c r="B15" s="30"/>
      <c r="C15" s="31"/>
      <c r="D15" s="31"/>
      <c r="E15" s="32"/>
      <c r="F15" s="32"/>
      <c r="G15" s="32"/>
      <c r="H15" s="32"/>
      <c r="I15" s="32"/>
      <c r="J15" s="32"/>
      <c r="L15" s="33"/>
      <c r="M15" s="34"/>
      <c r="O15" s="34"/>
      <c r="P15" s="144"/>
      <c r="Q15" s="144"/>
      <c r="R15" s="12"/>
      <c r="S15" s="12"/>
      <c r="T15" s="145"/>
    </row>
    <row r="16" spans="1:20" ht="22.5" customHeight="1">
      <c r="A16" s="340" t="s">
        <v>146</v>
      </c>
      <c r="B16" s="341"/>
      <c r="C16" s="341"/>
      <c r="D16" s="341"/>
      <c r="E16" s="304"/>
      <c r="F16" s="304"/>
      <c r="G16" s="304"/>
      <c r="H16" s="304"/>
      <c r="I16" s="304"/>
      <c r="J16" s="304"/>
      <c r="K16" s="255"/>
      <c r="L16" s="358" t="s">
        <v>22</v>
      </c>
      <c r="M16" s="359"/>
      <c r="N16" s="165"/>
      <c r="O16" s="38" t="s">
        <v>23</v>
      </c>
      <c r="P16" s="360" t="s">
        <v>24</v>
      </c>
      <c r="Q16" s="361"/>
      <c r="R16" s="12"/>
      <c r="S16" s="146" t="s">
        <v>68</v>
      </c>
      <c r="T16" s="147" t="s">
        <v>24</v>
      </c>
    </row>
    <row r="17" spans="1:20" ht="22.5" customHeight="1">
      <c r="A17" s="342" t="s">
        <v>25</v>
      </c>
      <c r="B17" s="344" t="s">
        <v>74</v>
      </c>
      <c r="C17" s="344" t="s">
        <v>75</v>
      </c>
      <c r="D17" s="344" t="s">
        <v>76</v>
      </c>
      <c r="E17" s="140" t="s">
        <v>29</v>
      </c>
      <c r="F17" s="140" t="s">
        <v>30</v>
      </c>
      <c r="G17" s="140" t="s">
        <v>31</v>
      </c>
      <c r="H17" s="140" t="s">
        <v>32</v>
      </c>
      <c r="I17" s="140" t="s">
        <v>33</v>
      </c>
      <c r="J17" s="140" t="s">
        <v>34</v>
      </c>
      <c r="K17" s="255"/>
      <c r="L17" s="298" t="s">
        <v>77</v>
      </c>
      <c r="M17" s="353" t="s">
        <v>35</v>
      </c>
      <c r="N17" s="166"/>
      <c r="O17" s="315" t="s">
        <v>78</v>
      </c>
      <c r="P17" s="355" t="s">
        <v>77</v>
      </c>
      <c r="Q17" s="312" t="s">
        <v>35</v>
      </c>
      <c r="R17" s="12"/>
      <c r="S17" s="351" t="s">
        <v>69</v>
      </c>
      <c r="T17" s="294" t="s">
        <v>70</v>
      </c>
    </row>
    <row r="18" spans="1:20" ht="22.5" customHeight="1" outlineLevel="1" thickBot="1">
      <c r="A18" s="343"/>
      <c r="B18" s="345"/>
      <c r="C18" s="345"/>
      <c r="D18" s="345"/>
      <c r="E18" s="41" t="s">
        <v>37</v>
      </c>
      <c r="F18" s="41" t="s">
        <v>37</v>
      </c>
      <c r="G18" s="41" t="s">
        <v>37</v>
      </c>
      <c r="H18" s="41" t="s">
        <v>37</v>
      </c>
      <c r="I18" s="41" t="s">
        <v>37</v>
      </c>
      <c r="J18" s="42" t="s">
        <v>37</v>
      </c>
      <c r="K18" s="255"/>
      <c r="L18" s="299"/>
      <c r="M18" s="354"/>
      <c r="O18" s="316"/>
      <c r="P18" s="356"/>
      <c r="Q18" s="357"/>
      <c r="R18" s="12"/>
      <c r="S18" s="352"/>
      <c r="T18" s="314"/>
    </row>
    <row r="19" spans="1:21" ht="16.5" customHeight="1">
      <c r="A19" s="323" t="s">
        <v>147</v>
      </c>
      <c r="B19" s="44" t="s">
        <v>148</v>
      </c>
      <c r="C19" s="45" t="s">
        <v>149</v>
      </c>
      <c r="D19" s="46" t="s">
        <v>138</v>
      </c>
      <c r="E19" s="293">
        <v>7680</v>
      </c>
      <c r="F19" s="245">
        <v>7800</v>
      </c>
      <c r="G19" s="245">
        <v>7950</v>
      </c>
      <c r="H19" s="246">
        <v>8100</v>
      </c>
      <c r="I19" s="246">
        <v>8340</v>
      </c>
      <c r="J19" s="246">
        <v>8730</v>
      </c>
      <c r="K19" s="161"/>
      <c r="L19" s="256">
        <v>1.3</v>
      </c>
      <c r="M19" s="257">
        <v>7.4</v>
      </c>
      <c r="N19" s="167"/>
      <c r="O19" s="258">
        <f aca="true" t="shared" si="0" ref="O19:O31">1000/L19</f>
        <v>769.2307692307692</v>
      </c>
      <c r="P19" s="259">
        <f aca="true" t="shared" si="1" ref="P19:P31">J19*L19/1000</f>
        <v>11.349</v>
      </c>
      <c r="Q19" s="260">
        <f aca="true" t="shared" si="2" ref="Q19:Q31">J19*M19/1000</f>
        <v>64.602</v>
      </c>
      <c r="R19" s="261"/>
      <c r="S19" s="262">
        <f>PI()*21.3^2/4-PI()*(21.3-2*2.5)^2/4</f>
        <v>147.65485471872034</v>
      </c>
      <c r="T19" s="150">
        <f>S19*0.006</f>
        <v>0.8859291283123221</v>
      </c>
      <c r="U19" s="263"/>
    </row>
    <row r="20" spans="1:21" ht="16.5" customHeight="1">
      <c r="A20" s="324"/>
      <c r="B20" s="105" t="s">
        <v>150</v>
      </c>
      <c r="C20" s="55" t="s">
        <v>151</v>
      </c>
      <c r="D20" s="56" t="s">
        <v>138</v>
      </c>
      <c r="E20" s="284">
        <v>7470</v>
      </c>
      <c r="F20" s="248">
        <v>7590</v>
      </c>
      <c r="G20" s="248">
        <v>7740</v>
      </c>
      <c r="H20" s="249">
        <v>7890</v>
      </c>
      <c r="I20" s="249">
        <v>8130</v>
      </c>
      <c r="J20" s="249">
        <v>8490</v>
      </c>
      <c r="K20" s="161"/>
      <c r="L20" s="264">
        <v>1.52</v>
      </c>
      <c r="M20" s="265">
        <v>9.2</v>
      </c>
      <c r="N20" s="167"/>
      <c r="O20" s="266">
        <f t="shared" si="0"/>
        <v>657.8947368421052</v>
      </c>
      <c r="P20" s="267">
        <f t="shared" si="1"/>
        <v>12.9048</v>
      </c>
      <c r="Q20" s="268">
        <f t="shared" si="2"/>
        <v>78.108</v>
      </c>
      <c r="R20" s="261"/>
      <c r="S20" s="269">
        <f>PI()*26.8^2/4-PI()*(26.8-2*2.5)^2/4</f>
        <v>190.85175370557994</v>
      </c>
      <c r="T20" s="151">
        <f aca="true" t="shared" si="3" ref="T20:T76">S20*0.006</f>
        <v>1.1451105222334796</v>
      </c>
      <c r="U20" s="263"/>
    </row>
    <row r="21" spans="1:21" ht="16.5" customHeight="1">
      <c r="A21" s="324"/>
      <c r="B21" s="105" t="s">
        <v>150</v>
      </c>
      <c r="C21" s="55" t="s">
        <v>152</v>
      </c>
      <c r="D21" s="56" t="s">
        <v>138</v>
      </c>
      <c r="E21" s="270">
        <v>7470</v>
      </c>
      <c r="F21" s="57">
        <v>7590</v>
      </c>
      <c r="G21" s="57">
        <v>7740</v>
      </c>
      <c r="H21" s="57">
        <v>7890</v>
      </c>
      <c r="I21" s="57">
        <v>8130</v>
      </c>
      <c r="J21" s="57">
        <v>8490</v>
      </c>
      <c r="K21" s="161"/>
      <c r="L21" s="264">
        <v>1.7</v>
      </c>
      <c r="M21" s="265">
        <v>10</v>
      </c>
      <c r="N21" s="167"/>
      <c r="O21" s="266">
        <f t="shared" si="0"/>
        <v>588.2352941176471</v>
      </c>
      <c r="P21" s="267">
        <f t="shared" si="1"/>
        <v>14.433</v>
      </c>
      <c r="Q21" s="268">
        <f t="shared" si="2"/>
        <v>84.9</v>
      </c>
      <c r="R21" s="261"/>
      <c r="S21" s="269">
        <f>PI()*26.8^2/4-PI()*(26.8-2*2.8)^2/4</f>
        <v>211.11502632123398</v>
      </c>
      <c r="T21" s="151">
        <f t="shared" si="3"/>
        <v>1.266690157927404</v>
      </c>
      <c r="U21" s="263"/>
    </row>
    <row r="22" spans="1:21" ht="16.5" customHeight="1">
      <c r="A22" s="324"/>
      <c r="B22" s="54" t="s">
        <v>153</v>
      </c>
      <c r="C22" s="55" t="s">
        <v>154</v>
      </c>
      <c r="D22" s="56" t="s">
        <v>138</v>
      </c>
      <c r="E22" s="284">
        <v>7260</v>
      </c>
      <c r="F22" s="248">
        <v>7380</v>
      </c>
      <c r="G22" s="248">
        <v>7530</v>
      </c>
      <c r="H22" s="248">
        <v>7680</v>
      </c>
      <c r="I22" s="248">
        <v>7890</v>
      </c>
      <c r="J22" s="248">
        <v>8280</v>
      </c>
      <c r="K22" s="161"/>
      <c r="L22" s="264">
        <v>1.96</v>
      </c>
      <c r="M22" s="265">
        <v>11.8</v>
      </c>
      <c r="N22" s="167"/>
      <c r="O22" s="266">
        <f t="shared" si="0"/>
        <v>510.2040816326531</v>
      </c>
      <c r="P22" s="267">
        <f t="shared" si="1"/>
        <v>16.2288</v>
      </c>
      <c r="Q22" s="268">
        <f t="shared" si="2"/>
        <v>97.704</v>
      </c>
      <c r="R22" s="261"/>
      <c r="S22" s="269">
        <f>PI()*33.5^2/4-PI()*(33.5-2*2.5)^2/4</f>
        <v>243.473430653209</v>
      </c>
      <c r="T22" s="151">
        <f t="shared" si="3"/>
        <v>1.460840583919254</v>
      </c>
      <c r="U22" s="263"/>
    </row>
    <row r="23" spans="1:21" ht="16.5" customHeight="1">
      <c r="A23" s="324"/>
      <c r="B23" s="54" t="s">
        <v>153</v>
      </c>
      <c r="C23" s="55" t="s">
        <v>155</v>
      </c>
      <c r="D23" s="56" t="s">
        <v>138</v>
      </c>
      <c r="E23" s="284">
        <v>7260</v>
      </c>
      <c r="F23" s="248">
        <v>7380</v>
      </c>
      <c r="G23" s="248">
        <v>7530</v>
      </c>
      <c r="H23" s="248">
        <v>7680</v>
      </c>
      <c r="I23" s="248">
        <v>7890</v>
      </c>
      <c r="J23" s="248">
        <v>8280</v>
      </c>
      <c r="K23" s="161"/>
      <c r="L23" s="264">
        <v>2.2</v>
      </c>
      <c r="M23" s="265">
        <v>13</v>
      </c>
      <c r="N23" s="167"/>
      <c r="O23" s="266">
        <f t="shared" si="0"/>
        <v>454.5454545454545</v>
      </c>
      <c r="P23" s="267">
        <f t="shared" si="1"/>
        <v>18.216</v>
      </c>
      <c r="Q23" s="268">
        <f t="shared" si="2"/>
        <v>107.64</v>
      </c>
      <c r="R23" s="261"/>
      <c r="S23" s="269">
        <f>PI()*33.5^2/4-PI()*(33.5-2*2.8)^2/4</f>
        <v>270.05130450257866</v>
      </c>
      <c r="T23" s="151">
        <f t="shared" si="3"/>
        <v>1.620307827015472</v>
      </c>
      <c r="U23" s="263"/>
    </row>
    <row r="24" spans="1:21" ht="16.5" customHeight="1">
      <c r="A24" s="324"/>
      <c r="B24" s="54" t="s">
        <v>153</v>
      </c>
      <c r="C24" s="55" t="s">
        <v>156</v>
      </c>
      <c r="D24" s="56" t="s">
        <v>138</v>
      </c>
      <c r="E24" s="284">
        <v>7260</v>
      </c>
      <c r="F24" s="248">
        <v>7380</v>
      </c>
      <c r="G24" s="248">
        <v>7530</v>
      </c>
      <c r="H24" s="248">
        <v>7680</v>
      </c>
      <c r="I24" s="248">
        <v>7890</v>
      </c>
      <c r="J24" s="248">
        <v>8280</v>
      </c>
      <c r="K24" s="161"/>
      <c r="L24" s="264">
        <v>2.5</v>
      </c>
      <c r="M24" s="265">
        <v>15</v>
      </c>
      <c r="N24" s="167"/>
      <c r="O24" s="266">
        <f t="shared" si="0"/>
        <v>400</v>
      </c>
      <c r="P24" s="267">
        <f t="shared" si="1"/>
        <v>20.7</v>
      </c>
      <c r="Q24" s="268">
        <f t="shared" si="2"/>
        <v>124.2</v>
      </c>
      <c r="R24" s="261"/>
      <c r="S24" s="269">
        <f>PI()*33.5^2/4-PI()*(33.5-2*3.2)^2/4</f>
        <v>304.60882369206627</v>
      </c>
      <c r="T24" s="151">
        <f t="shared" si="3"/>
        <v>1.8276529421523977</v>
      </c>
      <c r="U24" s="263"/>
    </row>
    <row r="25" spans="1:21" ht="16.5" customHeight="1">
      <c r="A25" s="324"/>
      <c r="B25" s="63" t="s">
        <v>157</v>
      </c>
      <c r="C25" s="55" t="s">
        <v>158</v>
      </c>
      <c r="D25" s="56" t="s">
        <v>138</v>
      </c>
      <c r="E25" s="270">
        <v>7260</v>
      </c>
      <c r="F25" s="57">
        <v>7380</v>
      </c>
      <c r="G25" s="57">
        <v>7530</v>
      </c>
      <c r="H25" s="57">
        <v>7680</v>
      </c>
      <c r="I25" s="57">
        <v>7890</v>
      </c>
      <c r="J25" s="57">
        <v>8280</v>
      </c>
      <c r="K25" s="161"/>
      <c r="L25" s="264">
        <v>2.5</v>
      </c>
      <c r="M25" s="265">
        <v>15</v>
      </c>
      <c r="N25" s="167"/>
      <c r="O25" s="266">
        <f t="shared" si="0"/>
        <v>400</v>
      </c>
      <c r="P25" s="267">
        <f t="shared" si="1"/>
        <v>20.7</v>
      </c>
      <c r="Q25" s="268">
        <f t="shared" si="2"/>
        <v>124.2</v>
      </c>
      <c r="R25" s="261"/>
      <c r="S25" s="269">
        <f>PI()*42.3^2/4-PI()*(42.3-2*2.5)^2/4</f>
        <v>312.58846903218455</v>
      </c>
      <c r="T25" s="151">
        <f t="shared" si="3"/>
        <v>1.8755308141931073</v>
      </c>
      <c r="U25" s="263"/>
    </row>
    <row r="26" spans="1:20" ht="16.5" customHeight="1">
      <c r="A26" s="324"/>
      <c r="B26" s="63" t="s">
        <v>157</v>
      </c>
      <c r="C26" s="55" t="s">
        <v>159</v>
      </c>
      <c r="D26" s="56" t="s">
        <v>138</v>
      </c>
      <c r="E26" s="270">
        <v>7260</v>
      </c>
      <c r="F26" s="57">
        <v>7380</v>
      </c>
      <c r="G26" s="57">
        <v>7530</v>
      </c>
      <c r="H26" s="57">
        <v>7680</v>
      </c>
      <c r="I26" s="57">
        <v>7890</v>
      </c>
      <c r="J26" s="57">
        <v>8280</v>
      </c>
      <c r="K26" s="161"/>
      <c r="L26" s="264">
        <v>2.7</v>
      </c>
      <c r="M26" s="265">
        <v>15.5</v>
      </c>
      <c r="N26" s="167"/>
      <c r="O26" s="266">
        <f t="shared" si="0"/>
        <v>370.3703703703703</v>
      </c>
      <c r="P26" s="267">
        <f t="shared" si="1"/>
        <v>22.356</v>
      </c>
      <c r="Q26" s="268">
        <f t="shared" si="2"/>
        <v>128.34</v>
      </c>
      <c r="R26" s="261"/>
      <c r="S26" s="269">
        <f>PI()*42.3^2/4-PI()*(42.3-2*2.8)^2/4</f>
        <v>347.46014748703124</v>
      </c>
      <c r="T26" s="151">
        <f t="shared" si="3"/>
        <v>2.0847608849221873</v>
      </c>
    </row>
    <row r="27" spans="1:20" ht="16.5" customHeight="1">
      <c r="A27" s="324"/>
      <c r="B27" s="63" t="s">
        <v>157</v>
      </c>
      <c r="C27" s="55" t="s">
        <v>160</v>
      </c>
      <c r="D27" s="56" t="s">
        <v>138</v>
      </c>
      <c r="E27" s="270">
        <v>7260</v>
      </c>
      <c r="F27" s="57">
        <v>7380</v>
      </c>
      <c r="G27" s="57">
        <v>7530</v>
      </c>
      <c r="H27" s="57">
        <v>7680</v>
      </c>
      <c r="I27" s="57">
        <v>7890</v>
      </c>
      <c r="J27" s="57">
        <v>8280</v>
      </c>
      <c r="K27" s="161"/>
      <c r="L27" s="264">
        <v>3.09</v>
      </c>
      <c r="M27" s="265">
        <v>18.5</v>
      </c>
      <c r="N27" s="167"/>
      <c r="O27" s="266">
        <f t="shared" si="0"/>
        <v>323.62459546925567</v>
      </c>
      <c r="P27" s="267">
        <f t="shared" si="1"/>
        <v>25.585199999999997</v>
      </c>
      <c r="Q27" s="268">
        <f t="shared" si="2"/>
        <v>153.18</v>
      </c>
      <c r="R27" s="261"/>
      <c r="S27" s="269">
        <f>PI()*42.3^2/4-PI()*(42.3-2*3.2)^2/4</f>
        <v>393.0760728171548</v>
      </c>
      <c r="T27" s="151">
        <f t="shared" si="3"/>
        <v>2.358456436902929</v>
      </c>
    </row>
    <row r="28" spans="1:20" ht="16.5" customHeight="1">
      <c r="A28" s="324"/>
      <c r="B28" s="54" t="s">
        <v>161</v>
      </c>
      <c r="C28" s="55" t="s">
        <v>162</v>
      </c>
      <c r="D28" s="56" t="s">
        <v>138</v>
      </c>
      <c r="E28" s="284">
        <v>7260</v>
      </c>
      <c r="F28" s="248">
        <v>7380</v>
      </c>
      <c r="G28" s="248">
        <v>7530</v>
      </c>
      <c r="H28" s="249">
        <v>7680</v>
      </c>
      <c r="I28" s="249">
        <v>7890</v>
      </c>
      <c r="J28" s="249">
        <v>8280</v>
      </c>
      <c r="K28" s="161"/>
      <c r="L28" s="264">
        <v>3.4</v>
      </c>
      <c r="M28" s="265">
        <v>20</v>
      </c>
      <c r="N28" s="167"/>
      <c r="O28" s="266">
        <f t="shared" si="0"/>
        <v>294.11764705882354</v>
      </c>
      <c r="P28" s="267">
        <f t="shared" si="1"/>
        <v>28.152</v>
      </c>
      <c r="Q28" s="268">
        <f t="shared" si="2"/>
        <v>165.6</v>
      </c>
      <c r="R28" s="261"/>
      <c r="S28" s="269">
        <f>PI()*48^2/4-PI()*(48-2*3)^2/4</f>
        <v>424.1150082346221</v>
      </c>
      <c r="T28" s="151">
        <f t="shared" si="3"/>
        <v>2.5446900494077327</v>
      </c>
    </row>
    <row r="29" spans="1:20" ht="16.5" customHeight="1">
      <c r="A29" s="324"/>
      <c r="B29" s="54" t="s">
        <v>161</v>
      </c>
      <c r="C29" s="55" t="s">
        <v>163</v>
      </c>
      <c r="D29" s="56" t="s">
        <v>138</v>
      </c>
      <c r="E29" s="270">
        <v>7260</v>
      </c>
      <c r="F29" s="57">
        <v>7380</v>
      </c>
      <c r="G29" s="57">
        <v>7530</v>
      </c>
      <c r="H29" s="57">
        <v>7680</v>
      </c>
      <c r="I29" s="57">
        <v>7890</v>
      </c>
      <c r="J29" s="57">
        <v>8280</v>
      </c>
      <c r="K29" s="161"/>
      <c r="L29" s="264">
        <v>4</v>
      </c>
      <c r="M29" s="265">
        <v>24</v>
      </c>
      <c r="N29" s="167"/>
      <c r="O29" s="266">
        <f t="shared" si="0"/>
        <v>250</v>
      </c>
      <c r="P29" s="267">
        <f t="shared" si="1"/>
        <v>33.12</v>
      </c>
      <c r="Q29" s="268">
        <f t="shared" si="2"/>
        <v>198.72</v>
      </c>
      <c r="R29" s="261"/>
      <c r="S29" s="269">
        <f>PI()*48^2/4-PI()*(48-2*3.5)^2/4</f>
        <v>489.30305579661035</v>
      </c>
      <c r="T29" s="151">
        <f t="shared" si="3"/>
        <v>2.935818334779662</v>
      </c>
    </row>
    <row r="30" spans="1:20" ht="16.5" customHeight="1">
      <c r="A30" s="324"/>
      <c r="B30" s="54" t="s">
        <v>164</v>
      </c>
      <c r="C30" s="55" t="s">
        <v>165</v>
      </c>
      <c r="D30" s="56" t="s">
        <v>138</v>
      </c>
      <c r="E30" s="284">
        <v>7260</v>
      </c>
      <c r="F30" s="248">
        <v>7380</v>
      </c>
      <c r="G30" s="248">
        <v>7530</v>
      </c>
      <c r="H30" s="249">
        <v>7680</v>
      </c>
      <c r="I30" s="249">
        <v>7890</v>
      </c>
      <c r="J30" s="249">
        <v>8280</v>
      </c>
      <c r="K30" s="161"/>
      <c r="L30" s="264">
        <v>4.2</v>
      </c>
      <c r="M30" s="265">
        <v>25.2</v>
      </c>
      <c r="N30" s="167"/>
      <c r="O30" s="266">
        <f t="shared" si="0"/>
        <v>238.09523809523807</v>
      </c>
      <c r="P30" s="267">
        <f t="shared" si="1"/>
        <v>34.776</v>
      </c>
      <c r="Q30" s="268">
        <f t="shared" si="2"/>
        <v>208.656</v>
      </c>
      <c r="R30" s="261"/>
      <c r="S30" s="269">
        <f>PI()*60^2/4-PI()*(60-2*3)^2/4</f>
        <v>537.2123437638547</v>
      </c>
      <c r="T30" s="151">
        <f t="shared" si="3"/>
        <v>3.2232740625831284</v>
      </c>
    </row>
    <row r="31" spans="1:20" ht="16.5" customHeight="1" thickBot="1">
      <c r="A31" s="325"/>
      <c r="B31" s="65" t="s">
        <v>164</v>
      </c>
      <c r="C31" s="107" t="s">
        <v>166</v>
      </c>
      <c r="D31" s="67" t="s">
        <v>138</v>
      </c>
      <c r="E31" s="271">
        <v>7260</v>
      </c>
      <c r="F31" s="68">
        <v>7380</v>
      </c>
      <c r="G31" s="68">
        <v>7530</v>
      </c>
      <c r="H31" s="68">
        <v>7680</v>
      </c>
      <c r="I31" s="68">
        <v>7890</v>
      </c>
      <c r="J31" s="68">
        <v>8280</v>
      </c>
      <c r="K31" s="161"/>
      <c r="L31" s="272">
        <v>4.9</v>
      </c>
      <c r="M31" s="273">
        <v>29.4</v>
      </c>
      <c r="N31" s="167"/>
      <c r="O31" s="274">
        <f t="shared" si="0"/>
        <v>204.0816326530612</v>
      </c>
      <c r="P31" s="275">
        <f t="shared" si="1"/>
        <v>40.572</v>
      </c>
      <c r="Q31" s="276">
        <f t="shared" si="2"/>
        <v>243.432</v>
      </c>
      <c r="R31" s="261"/>
      <c r="S31" s="277">
        <f>PI()*60^2/4-PI()*(60-2*3.5)^2/4</f>
        <v>621.2499472473814</v>
      </c>
      <c r="T31" s="152">
        <f t="shared" si="3"/>
        <v>3.7274996834842886</v>
      </c>
    </row>
    <row r="32" spans="1:20" ht="12" customHeight="1" thickBot="1">
      <c r="A32" s="74"/>
      <c r="B32" s="75"/>
      <c r="C32" s="76"/>
      <c r="D32" s="77"/>
      <c r="E32" s="121"/>
      <c r="F32" s="78"/>
      <c r="G32" s="78"/>
      <c r="H32" s="79"/>
      <c r="I32" s="79"/>
      <c r="J32" s="79"/>
      <c r="K32" s="161"/>
      <c r="L32" s="278"/>
      <c r="M32" s="279"/>
      <c r="N32" s="167"/>
      <c r="O32" s="280"/>
      <c r="P32" s="281"/>
      <c r="Q32" s="282"/>
      <c r="R32" s="261"/>
      <c r="S32" s="283"/>
      <c r="T32" s="154"/>
    </row>
    <row r="33" spans="1:20" ht="16.5" customHeight="1">
      <c r="A33" s="335" t="s">
        <v>167</v>
      </c>
      <c r="B33" s="83"/>
      <c r="C33" s="84" t="s">
        <v>168</v>
      </c>
      <c r="D33" s="46">
        <v>6</v>
      </c>
      <c r="E33" s="245">
        <v>8130</v>
      </c>
      <c r="F33" s="245">
        <v>8250</v>
      </c>
      <c r="G33" s="245">
        <v>8430</v>
      </c>
      <c r="H33" s="246">
        <v>8580</v>
      </c>
      <c r="I33" s="246">
        <v>8820</v>
      </c>
      <c r="J33" s="246">
        <v>9240</v>
      </c>
      <c r="K33" s="161"/>
      <c r="L33" s="256">
        <v>0.83</v>
      </c>
      <c r="M33" s="257">
        <v>5</v>
      </c>
      <c r="N33" s="167"/>
      <c r="O33" s="258">
        <f aca="true" t="shared" si="4" ref="O33:O65">1000/L33</f>
        <v>1204.8192771084339</v>
      </c>
      <c r="P33" s="259">
        <f aca="true" t="shared" si="5" ref="P33:P65">J33*L33/1000</f>
        <v>7.6692</v>
      </c>
      <c r="Q33" s="260">
        <f aca="true" t="shared" si="6" ref="Q33:Q60">J33*M33/1000</f>
        <v>46.2</v>
      </c>
      <c r="R33" s="261"/>
      <c r="S33" s="262">
        <f>15^2-(15-2*2)^2</f>
        <v>104</v>
      </c>
      <c r="T33" s="150">
        <f t="shared" si="3"/>
        <v>0.624</v>
      </c>
    </row>
    <row r="34" spans="1:20" ht="16.5" customHeight="1">
      <c r="A34" s="336"/>
      <c r="B34" s="63"/>
      <c r="C34" s="64" t="s">
        <v>169</v>
      </c>
      <c r="D34" s="56">
        <v>6</v>
      </c>
      <c r="E34" s="248">
        <v>8130</v>
      </c>
      <c r="F34" s="248">
        <v>8250</v>
      </c>
      <c r="G34" s="248">
        <v>8430</v>
      </c>
      <c r="H34" s="249">
        <v>8580</v>
      </c>
      <c r="I34" s="249">
        <v>8820</v>
      </c>
      <c r="J34" s="249">
        <v>9240</v>
      </c>
      <c r="K34" s="161"/>
      <c r="L34" s="264">
        <v>0.95</v>
      </c>
      <c r="M34" s="265">
        <v>5.7</v>
      </c>
      <c r="N34" s="167"/>
      <c r="O34" s="266">
        <f>1000/L34</f>
        <v>1052.6315789473686</v>
      </c>
      <c r="P34" s="267">
        <f t="shared" si="5"/>
        <v>8.778</v>
      </c>
      <c r="Q34" s="268">
        <f t="shared" si="6"/>
        <v>52.668</v>
      </c>
      <c r="R34" s="261"/>
      <c r="S34" s="269">
        <f>17^2-(17-2*2)^2</f>
        <v>120</v>
      </c>
      <c r="T34" s="151">
        <f t="shared" si="3"/>
        <v>0.72</v>
      </c>
    </row>
    <row r="35" spans="1:20" ht="16.5" customHeight="1">
      <c r="A35" s="336"/>
      <c r="B35" s="63"/>
      <c r="C35" s="64" t="s">
        <v>170</v>
      </c>
      <c r="D35" s="56">
        <v>6</v>
      </c>
      <c r="E35" s="248">
        <v>7950</v>
      </c>
      <c r="F35" s="248">
        <v>8070</v>
      </c>
      <c r="G35" s="248">
        <v>8220</v>
      </c>
      <c r="H35" s="249">
        <v>8370</v>
      </c>
      <c r="I35" s="249">
        <v>8610</v>
      </c>
      <c r="J35" s="249">
        <v>9030</v>
      </c>
      <c r="K35" s="161"/>
      <c r="L35" s="264">
        <v>1.18</v>
      </c>
      <c r="M35" s="265">
        <v>7.1</v>
      </c>
      <c r="N35" s="167"/>
      <c r="O35" s="266">
        <f t="shared" si="4"/>
        <v>847.4576271186442</v>
      </c>
      <c r="P35" s="267">
        <f t="shared" si="5"/>
        <v>10.6554</v>
      </c>
      <c r="Q35" s="268">
        <f t="shared" si="6"/>
        <v>64.113</v>
      </c>
      <c r="R35" s="261"/>
      <c r="S35" s="269">
        <f>20^2-(20-2*2)^2</f>
        <v>144</v>
      </c>
      <c r="T35" s="151">
        <f t="shared" si="3"/>
        <v>0.864</v>
      </c>
    </row>
    <row r="36" spans="1:20" ht="16.5" customHeight="1">
      <c r="A36" s="336"/>
      <c r="B36" s="54"/>
      <c r="C36" s="64" t="s">
        <v>171</v>
      </c>
      <c r="D36" s="56">
        <v>6</v>
      </c>
      <c r="E36" s="248">
        <v>7740</v>
      </c>
      <c r="F36" s="248">
        <v>7860</v>
      </c>
      <c r="G36" s="248">
        <v>8010</v>
      </c>
      <c r="H36" s="249">
        <v>8160</v>
      </c>
      <c r="I36" s="249">
        <v>8400</v>
      </c>
      <c r="J36" s="249">
        <v>8790</v>
      </c>
      <c r="K36" s="161"/>
      <c r="L36" s="264">
        <v>1.5</v>
      </c>
      <c r="M36" s="265">
        <v>9</v>
      </c>
      <c r="N36" s="167"/>
      <c r="O36" s="266">
        <f t="shared" si="4"/>
        <v>666.6666666666666</v>
      </c>
      <c r="P36" s="267">
        <f t="shared" si="5"/>
        <v>13.185</v>
      </c>
      <c r="Q36" s="268">
        <f t="shared" si="6"/>
        <v>79.11</v>
      </c>
      <c r="R36" s="261"/>
      <c r="S36" s="269">
        <f>25^2-(25-2*2)^2</f>
        <v>184</v>
      </c>
      <c r="T36" s="151">
        <f t="shared" si="3"/>
        <v>1.104</v>
      </c>
    </row>
    <row r="37" spans="1:20" ht="16.5" customHeight="1">
      <c r="A37" s="336"/>
      <c r="B37" s="54"/>
      <c r="C37" s="64" t="s">
        <v>171</v>
      </c>
      <c r="D37" s="56" t="s">
        <v>102</v>
      </c>
      <c r="E37" s="248">
        <v>6180</v>
      </c>
      <c r="F37" s="248">
        <v>6300</v>
      </c>
      <c r="G37" s="248">
        <v>6420</v>
      </c>
      <c r="H37" s="248">
        <v>6540</v>
      </c>
      <c r="I37" s="248">
        <v>6720</v>
      </c>
      <c r="J37" s="248">
        <v>7050</v>
      </c>
      <c r="K37" s="161"/>
      <c r="L37" s="264">
        <v>1.5</v>
      </c>
      <c r="M37" s="265"/>
      <c r="N37" s="167"/>
      <c r="O37" s="266">
        <f t="shared" si="4"/>
        <v>666.6666666666666</v>
      </c>
      <c r="P37" s="267">
        <f t="shared" si="5"/>
        <v>10.575</v>
      </c>
      <c r="Q37" s="268">
        <f t="shared" si="6"/>
        <v>0</v>
      </c>
      <c r="R37" s="261"/>
      <c r="S37" s="269">
        <f>25^2-(25-2*2)^2</f>
        <v>184</v>
      </c>
      <c r="T37" s="151">
        <f t="shared" si="3"/>
        <v>1.104</v>
      </c>
    </row>
    <row r="38" spans="1:20" ht="16.5" customHeight="1">
      <c r="A38" s="336"/>
      <c r="B38" s="54"/>
      <c r="C38" s="64" t="s">
        <v>172</v>
      </c>
      <c r="D38" s="56">
        <v>6</v>
      </c>
      <c r="E38" s="57">
        <v>7740</v>
      </c>
      <c r="F38" s="57">
        <v>7860</v>
      </c>
      <c r="G38" s="57">
        <v>8010</v>
      </c>
      <c r="H38" s="57">
        <v>8160</v>
      </c>
      <c r="I38" s="57">
        <v>8400</v>
      </c>
      <c r="J38" s="57">
        <v>8790</v>
      </c>
      <c r="K38" s="161"/>
      <c r="L38" s="264">
        <v>1.5</v>
      </c>
      <c r="M38" s="265">
        <v>9</v>
      </c>
      <c r="N38" s="167"/>
      <c r="O38" s="266">
        <f t="shared" si="4"/>
        <v>666.6666666666666</v>
      </c>
      <c r="P38" s="267">
        <f t="shared" si="5"/>
        <v>13.185</v>
      </c>
      <c r="Q38" s="268">
        <f t="shared" si="6"/>
        <v>79.11</v>
      </c>
      <c r="R38" s="261"/>
      <c r="S38" s="269">
        <f>30*20-26*16</f>
        <v>184</v>
      </c>
      <c r="T38" s="151">
        <f t="shared" si="3"/>
        <v>1.104</v>
      </c>
    </row>
    <row r="39" spans="1:20" ht="16.5" customHeight="1">
      <c r="A39" s="336"/>
      <c r="B39" s="54"/>
      <c r="C39" s="64" t="s">
        <v>173</v>
      </c>
      <c r="D39" s="56">
        <v>6</v>
      </c>
      <c r="E39" s="248">
        <v>7740</v>
      </c>
      <c r="F39" s="248">
        <v>7860</v>
      </c>
      <c r="G39" s="248">
        <v>8010</v>
      </c>
      <c r="H39" s="248">
        <v>8160</v>
      </c>
      <c r="I39" s="248">
        <v>8400</v>
      </c>
      <c r="J39" s="248">
        <v>8790</v>
      </c>
      <c r="K39" s="161"/>
      <c r="L39" s="264">
        <v>1.83</v>
      </c>
      <c r="M39" s="265">
        <v>11</v>
      </c>
      <c r="N39" s="167"/>
      <c r="O39" s="266">
        <f t="shared" si="4"/>
        <v>546.4480874316939</v>
      </c>
      <c r="P39" s="267">
        <f t="shared" si="5"/>
        <v>16.0857</v>
      </c>
      <c r="Q39" s="268">
        <f t="shared" si="6"/>
        <v>96.69</v>
      </c>
      <c r="R39" s="261"/>
      <c r="S39" s="269">
        <f>30^2-(30-2*2)^2</f>
        <v>224</v>
      </c>
      <c r="T39" s="151">
        <f t="shared" si="3"/>
        <v>1.344</v>
      </c>
    </row>
    <row r="40" spans="1:20" ht="16.5" customHeight="1">
      <c r="A40" s="336"/>
      <c r="B40" s="63"/>
      <c r="C40" s="64" t="s">
        <v>173</v>
      </c>
      <c r="D40" s="56" t="s">
        <v>102</v>
      </c>
      <c r="E40" s="248">
        <v>6180</v>
      </c>
      <c r="F40" s="248">
        <v>6300</v>
      </c>
      <c r="G40" s="248">
        <v>6420</v>
      </c>
      <c r="H40" s="248">
        <v>6540</v>
      </c>
      <c r="I40" s="248">
        <v>6720</v>
      </c>
      <c r="J40" s="248">
        <v>7050</v>
      </c>
      <c r="K40" s="161"/>
      <c r="L40" s="264">
        <v>1.83</v>
      </c>
      <c r="M40" s="265"/>
      <c r="N40" s="167"/>
      <c r="O40" s="266">
        <f t="shared" si="4"/>
        <v>546.4480874316939</v>
      </c>
      <c r="P40" s="267">
        <f t="shared" si="5"/>
        <v>12.9015</v>
      </c>
      <c r="Q40" s="268">
        <f t="shared" si="6"/>
        <v>0</v>
      </c>
      <c r="R40" s="261"/>
      <c r="S40" s="269">
        <f>30^2-(30-2*2)^2</f>
        <v>224</v>
      </c>
      <c r="T40" s="151">
        <f t="shared" si="3"/>
        <v>1.344</v>
      </c>
    </row>
    <row r="41" spans="1:20" ht="16.5" customHeight="1">
      <c r="A41" s="336"/>
      <c r="B41" s="54"/>
      <c r="C41" s="64" t="s">
        <v>174</v>
      </c>
      <c r="D41" s="56">
        <v>6</v>
      </c>
      <c r="E41" s="57">
        <v>7740</v>
      </c>
      <c r="F41" s="57">
        <v>7860</v>
      </c>
      <c r="G41" s="57">
        <v>8010</v>
      </c>
      <c r="H41" s="58">
        <v>8160</v>
      </c>
      <c r="I41" s="58">
        <v>8400</v>
      </c>
      <c r="J41" s="58">
        <v>8790</v>
      </c>
      <c r="K41" s="161"/>
      <c r="L41" s="264">
        <v>1.83</v>
      </c>
      <c r="M41" s="265">
        <v>11</v>
      </c>
      <c r="N41" s="167"/>
      <c r="O41" s="266">
        <f t="shared" si="4"/>
        <v>546.4480874316939</v>
      </c>
      <c r="P41" s="267">
        <f t="shared" si="5"/>
        <v>16.0857</v>
      </c>
      <c r="Q41" s="268">
        <f t="shared" si="6"/>
        <v>96.69</v>
      </c>
      <c r="R41" s="261"/>
      <c r="S41" s="269">
        <f>40*20-36*16</f>
        <v>224</v>
      </c>
      <c r="T41" s="151">
        <f t="shared" si="3"/>
        <v>1.344</v>
      </c>
    </row>
    <row r="42" spans="1:20" ht="16.5" customHeight="1">
      <c r="A42" s="336"/>
      <c r="B42" s="63"/>
      <c r="C42" s="64" t="s">
        <v>175</v>
      </c>
      <c r="D42" s="56">
        <v>6</v>
      </c>
      <c r="E42" s="57">
        <v>7740</v>
      </c>
      <c r="F42" s="57">
        <v>7860</v>
      </c>
      <c r="G42" s="57">
        <v>8010</v>
      </c>
      <c r="H42" s="57">
        <v>8160</v>
      </c>
      <c r="I42" s="57">
        <v>8400</v>
      </c>
      <c r="J42" s="57">
        <v>8790</v>
      </c>
      <c r="K42" s="161"/>
      <c r="L42" s="264">
        <v>2.08</v>
      </c>
      <c r="M42" s="265">
        <v>12.5</v>
      </c>
      <c r="N42" s="167"/>
      <c r="O42" s="266">
        <f t="shared" si="4"/>
        <v>480.7692307692308</v>
      </c>
      <c r="P42" s="267">
        <f t="shared" si="5"/>
        <v>18.2832</v>
      </c>
      <c r="Q42" s="268">
        <f t="shared" si="6"/>
        <v>109.875</v>
      </c>
      <c r="R42" s="261"/>
      <c r="S42" s="269">
        <f>40*25-36*21</f>
        <v>244</v>
      </c>
      <c r="T42" s="151">
        <f t="shared" si="3"/>
        <v>1.464</v>
      </c>
    </row>
    <row r="43" spans="1:20" ht="16.5" customHeight="1">
      <c r="A43" s="336"/>
      <c r="B43" s="63"/>
      <c r="C43" s="64" t="s">
        <v>176</v>
      </c>
      <c r="D43" s="56">
        <v>6</v>
      </c>
      <c r="E43" s="248">
        <v>7530</v>
      </c>
      <c r="F43" s="248">
        <v>7650</v>
      </c>
      <c r="G43" s="248">
        <v>7800</v>
      </c>
      <c r="H43" s="248">
        <v>7950</v>
      </c>
      <c r="I43" s="248">
        <v>8190</v>
      </c>
      <c r="J43" s="248">
        <v>8580</v>
      </c>
      <c r="K43" s="161"/>
      <c r="L43" s="264">
        <v>2.5</v>
      </c>
      <c r="M43" s="265">
        <v>15</v>
      </c>
      <c r="N43" s="167"/>
      <c r="O43" s="266">
        <f t="shared" si="4"/>
        <v>400</v>
      </c>
      <c r="P43" s="267">
        <f t="shared" si="5"/>
        <v>21.45</v>
      </c>
      <c r="Q43" s="268">
        <f t="shared" si="6"/>
        <v>128.7</v>
      </c>
      <c r="R43" s="261"/>
      <c r="S43" s="269">
        <f>40^2-(40-2*2)^2</f>
        <v>304</v>
      </c>
      <c r="T43" s="151">
        <f t="shared" si="3"/>
        <v>1.824</v>
      </c>
    </row>
    <row r="44" spans="1:20" ht="16.5" customHeight="1">
      <c r="A44" s="336"/>
      <c r="B44" s="63"/>
      <c r="C44" s="64" t="s">
        <v>177</v>
      </c>
      <c r="D44" s="56">
        <v>6</v>
      </c>
      <c r="E44" s="57">
        <v>7530</v>
      </c>
      <c r="F44" s="57">
        <v>7650</v>
      </c>
      <c r="G44" s="57">
        <v>7800</v>
      </c>
      <c r="H44" s="57">
        <v>7950</v>
      </c>
      <c r="I44" s="57">
        <v>8190</v>
      </c>
      <c r="J44" s="57">
        <v>8580</v>
      </c>
      <c r="K44" s="161"/>
      <c r="L44" s="264">
        <v>2.33</v>
      </c>
      <c r="M44" s="265">
        <v>14</v>
      </c>
      <c r="N44" s="167"/>
      <c r="O44" s="266">
        <f t="shared" si="4"/>
        <v>429.18454935622316</v>
      </c>
      <c r="P44" s="267">
        <f t="shared" si="5"/>
        <v>19.991400000000002</v>
      </c>
      <c r="Q44" s="268">
        <f t="shared" si="6"/>
        <v>120.12</v>
      </c>
      <c r="R44" s="261"/>
      <c r="S44" s="269">
        <f>50*25-46*21</f>
        <v>284</v>
      </c>
      <c r="T44" s="151">
        <f t="shared" si="3"/>
        <v>1.704</v>
      </c>
    </row>
    <row r="45" spans="1:20" ht="16.5" customHeight="1">
      <c r="A45" s="336"/>
      <c r="B45" s="63"/>
      <c r="C45" s="64" t="s">
        <v>178</v>
      </c>
      <c r="D45" s="56">
        <v>6</v>
      </c>
      <c r="E45" s="57">
        <v>7530</v>
      </c>
      <c r="F45" s="57">
        <v>7650</v>
      </c>
      <c r="G45" s="57">
        <v>7800</v>
      </c>
      <c r="H45" s="57">
        <v>7950</v>
      </c>
      <c r="I45" s="57">
        <v>8190</v>
      </c>
      <c r="J45" s="57">
        <v>8580</v>
      </c>
      <c r="K45" s="161"/>
      <c r="L45" s="264">
        <v>2.5</v>
      </c>
      <c r="M45" s="265">
        <v>15</v>
      </c>
      <c r="N45" s="167"/>
      <c r="O45" s="266">
        <f t="shared" si="4"/>
        <v>400</v>
      </c>
      <c r="P45" s="267">
        <f t="shared" si="5"/>
        <v>21.45</v>
      </c>
      <c r="Q45" s="268">
        <f t="shared" si="6"/>
        <v>128.7</v>
      </c>
      <c r="R45" s="261"/>
      <c r="S45" s="269">
        <f>50*30-46*26</f>
        <v>304</v>
      </c>
      <c r="T45" s="151">
        <f t="shared" si="3"/>
        <v>1.824</v>
      </c>
    </row>
    <row r="46" spans="1:20" ht="16.5" customHeight="1">
      <c r="A46" s="336"/>
      <c r="B46" s="54"/>
      <c r="C46" s="64" t="s">
        <v>179</v>
      </c>
      <c r="D46" s="56">
        <v>6</v>
      </c>
      <c r="E46" s="57">
        <v>7530</v>
      </c>
      <c r="F46" s="57">
        <v>7650</v>
      </c>
      <c r="G46" s="57">
        <v>7800</v>
      </c>
      <c r="H46" s="57">
        <v>7950</v>
      </c>
      <c r="I46" s="57">
        <v>8190</v>
      </c>
      <c r="J46" s="57">
        <v>8580</v>
      </c>
      <c r="K46" s="161"/>
      <c r="L46" s="264">
        <v>3</v>
      </c>
      <c r="M46" s="265">
        <v>18</v>
      </c>
      <c r="N46" s="167"/>
      <c r="O46" s="266">
        <f t="shared" si="4"/>
        <v>333.3333333333333</v>
      </c>
      <c r="P46" s="267">
        <f t="shared" si="5"/>
        <v>25.74</v>
      </c>
      <c r="Q46" s="268">
        <f t="shared" si="6"/>
        <v>154.44</v>
      </c>
      <c r="R46" s="261"/>
      <c r="S46" s="269">
        <f>50^2-(50-2*2)^2</f>
        <v>384</v>
      </c>
      <c r="T46" s="151">
        <f t="shared" si="3"/>
        <v>2.3040000000000003</v>
      </c>
    </row>
    <row r="47" spans="1:20" ht="16.5" customHeight="1">
      <c r="A47" s="336"/>
      <c r="B47" s="54"/>
      <c r="C47" s="64" t="s">
        <v>134</v>
      </c>
      <c r="D47" s="56">
        <v>6</v>
      </c>
      <c r="E47" s="248">
        <v>7230</v>
      </c>
      <c r="F47" s="248">
        <v>7350</v>
      </c>
      <c r="G47" s="248">
        <v>7500</v>
      </c>
      <c r="H47" s="248">
        <v>7650</v>
      </c>
      <c r="I47" s="248">
        <v>7860</v>
      </c>
      <c r="J47" s="248">
        <v>8220</v>
      </c>
      <c r="K47" s="161"/>
      <c r="L47" s="264">
        <v>4.33</v>
      </c>
      <c r="M47" s="265">
        <v>26</v>
      </c>
      <c r="N47" s="167"/>
      <c r="O47" s="266">
        <f t="shared" si="4"/>
        <v>230.94688221709006</v>
      </c>
      <c r="P47" s="267">
        <f t="shared" si="5"/>
        <v>35.5926</v>
      </c>
      <c r="Q47" s="268">
        <f t="shared" si="6"/>
        <v>213.72</v>
      </c>
      <c r="R47" s="261"/>
      <c r="S47" s="269">
        <f>50^2-(50-2*3)^2</f>
        <v>564</v>
      </c>
      <c r="T47" s="151">
        <f t="shared" si="3"/>
        <v>3.384</v>
      </c>
    </row>
    <row r="48" spans="1:20" ht="16.5" customHeight="1">
      <c r="A48" s="336"/>
      <c r="B48" s="54"/>
      <c r="C48" s="64" t="s">
        <v>180</v>
      </c>
      <c r="D48" s="56">
        <v>6</v>
      </c>
      <c r="E48" s="57">
        <v>7530</v>
      </c>
      <c r="F48" s="57">
        <v>7650</v>
      </c>
      <c r="G48" s="57">
        <v>7800</v>
      </c>
      <c r="H48" s="57">
        <v>7950</v>
      </c>
      <c r="I48" s="57">
        <v>8190</v>
      </c>
      <c r="J48" s="57">
        <v>8580</v>
      </c>
      <c r="K48" s="161"/>
      <c r="L48" s="264">
        <v>2.92</v>
      </c>
      <c r="M48" s="265">
        <v>17.5</v>
      </c>
      <c r="N48" s="167"/>
      <c r="O48" s="266">
        <f t="shared" si="4"/>
        <v>342.4657534246575</v>
      </c>
      <c r="P48" s="267">
        <f t="shared" si="5"/>
        <v>25.0536</v>
      </c>
      <c r="Q48" s="268">
        <f t="shared" si="6"/>
        <v>150.15</v>
      </c>
      <c r="R48" s="261"/>
      <c r="S48" s="269">
        <f>60*30-56*26</f>
        <v>344</v>
      </c>
      <c r="T48" s="151">
        <f t="shared" si="3"/>
        <v>2.064</v>
      </c>
    </row>
    <row r="49" spans="1:20" ht="16.5" customHeight="1">
      <c r="A49" s="336"/>
      <c r="B49" s="54"/>
      <c r="C49" s="64" t="s">
        <v>181</v>
      </c>
      <c r="D49" s="56">
        <v>6</v>
      </c>
      <c r="E49" s="57">
        <v>7530</v>
      </c>
      <c r="F49" s="57">
        <v>7650</v>
      </c>
      <c r="G49" s="57">
        <v>7800</v>
      </c>
      <c r="H49" s="57">
        <v>7950</v>
      </c>
      <c r="I49" s="57">
        <v>8190</v>
      </c>
      <c r="J49" s="57">
        <v>8580</v>
      </c>
      <c r="K49" s="161"/>
      <c r="L49" s="264">
        <v>3.08</v>
      </c>
      <c r="M49" s="265">
        <v>18.5</v>
      </c>
      <c r="N49" s="167"/>
      <c r="O49" s="266">
        <f t="shared" si="4"/>
        <v>324.67532467532465</v>
      </c>
      <c r="P49" s="267">
        <f t="shared" si="5"/>
        <v>26.4264</v>
      </c>
      <c r="Q49" s="268">
        <f t="shared" si="6"/>
        <v>158.73</v>
      </c>
      <c r="R49" s="261"/>
      <c r="S49" s="269">
        <f>60*40-56*36</f>
        <v>384</v>
      </c>
      <c r="T49" s="151">
        <f t="shared" si="3"/>
        <v>2.3040000000000003</v>
      </c>
    </row>
    <row r="50" spans="1:20" ht="16.5" customHeight="1">
      <c r="A50" s="336"/>
      <c r="B50" s="54"/>
      <c r="C50" s="64" t="s">
        <v>182</v>
      </c>
      <c r="D50" s="56">
        <v>6</v>
      </c>
      <c r="E50" s="57">
        <v>7230</v>
      </c>
      <c r="F50" s="57">
        <v>7350</v>
      </c>
      <c r="G50" s="57">
        <v>7500</v>
      </c>
      <c r="H50" s="57">
        <v>7650</v>
      </c>
      <c r="I50" s="57">
        <v>7860</v>
      </c>
      <c r="J50" s="57">
        <v>8220</v>
      </c>
      <c r="K50" s="161"/>
      <c r="L50" s="264">
        <v>4.306</v>
      </c>
      <c r="M50" s="265">
        <v>26</v>
      </c>
      <c r="N50" s="167"/>
      <c r="O50" s="266">
        <f t="shared" si="4"/>
        <v>232.2340919647004</v>
      </c>
      <c r="P50" s="267">
        <f t="shared" si="5"/>
        <v>35.39532</v>
      </c>
      <c r="Q50" s="268">
        <f t="shared" si="6"/>
        <v>213.72</v>
      </c>
      <c r="R50" s="261"/>
      <c r="S50" s="269">
        <f>60*40-54*34</f>
        <v>564</v>
      </c>
      <c r="T50" s="151">
        <f t="shared" si="3"/>
        <v>3.384</v>
      </c>
    </row>
    <row r="51" spans="1:20" ht="16.5" customHeight="1">
      <c r="A51" s="336"/>
      <c r="B51" s="54"/>
      <c r="C51" s="64" t="s">
        <v>183</v>
      </c>
      <c r="D51" s="56">
        <v>6</v>
      </c>
      <c r="E51" s="57">
        <v>7530</v>
      </c>
      <c r="F51" s="57">
        <v>7650</v>
      </c>
      <c r="G51" s="57">
        <v>7800</v>
      </c>
      <c r="H51" s="57">
        <v>7950</v>
      </c>
      <c r="I51" s="57">
        <v>8190</v>
      </c>
      <c r="J51" s="57">
        <v>8580</v>
      </c>
      <c r="K51" s="161"/>
      <c r="L51" s="264">
        <v>3.59</v>
      </c>
      <c r="M51" s="265">
        <v>21.6</v>
      </c>
      <c r="N51" s="167"/>
      <c r="O51" s="266">
        <f t="shared" si="4"/>
        <v>278.5515320334262</v>
      </c>
      <c r="P51" s="267">
        <f t="shared" si="5"/>
        <v>30.802199999999996</v>
      </c>
      <c r="Q51" s="268">
        <f t="shared" si="6"/>
        <v>185.328</v>
      </c>
      <c r="R51" s="261"/>
      <c r="S51" s="269">
        <f>60^2-(60-2*2)^2</f>
        <v>464</v>
      </c>
      <c r="T51" s="151">
        <f t="shared" si="3"/>
        <v>2.7840000000000003</v>
      </c>
    </row>
    <row r="52" spans="1:20" ht="16.5" customHeight="1">
      <c r="A52" s="336"/>
      <c r="B52" s="54"/>
      <c r="C52" s="64" t="s">
        <v>184</v>
      </c>
      <c r="D52" s="56">
        <v>6</v>
      </c>
      <c r="E52" s="57">
        <v>7230</v>
      </c>
      <c r="F52" s="57">
        <v>7350</v>
      </c>
      <c r="G52" s="57">
        <v>7500</v>
      </c>
      <c r="H52" s="57">
        <v>7650</v>
      </c>
      <c r="I52" s="57">
        <v>7860</v>
      </c>
      <c r="J52" s="57">
        <v>8220</v>
      </c>
      <c r="K52" s="161"/>
      <c r="L52" s="264">
        <v>5.248</v>
      </c>
      <c r="M52" s="265">
        <v>32</v>
      </c>
      <c r="N52" s="167"/>
      <c r="O52" s="266">
        <f t="shared" si="4"/>
        <v>190.54878048780486</v>
      </c>
      <c r="P52" s="267">
        <f t="shared" si="5"/>
        <v>43.138560000000005</v>
      </c>
      <c r="Q52" s="268">
        <f t="shared" si="6"/>
        <v>263.04</v>
      </c>
      <c r="R52" s="261"/>
      <c r="S52" s="269">
        <f>60^2-(60-2*3)^2</f>
        <v>684</v>
      </c>
      <c r="T52" s="151">
        <f t="shared" si="3"/>
        <v>4.104</v>
      </c>
    </row>
    <row r="53" spans="1:20" ht="16.5" customHeight="1">
      <c r="A53" s="336"/>
      <c r="B53" s="54"/>
      <c r="C53" s="64" t="s">
        <v>185</v>
      </c>
      <c r="D53" s="56">
        <v>6</v>
      </c>
      <c r="E53" s="57">
        <v>7530</v>
      </c>
      <c r="F53" s="57">
        <v>7650</v>
      </c>
      <c r="G53" s="57">
        <v>7800</v>
      </c>
      <c r="H53" s="57">
        <v>7950</v>
      </c>
      <c r="I53" s="57">
        <v>8190</v>
      </c>
      <c r="J53" s="57">
        <v>8580</v>
      </c>
      <c r="K53" s="161"/>
      <c r="L53" s="264">
        <v>3.59</v>
      </c>
      <c r="M53" s="265">
        <v>21.6</v>
      </c>
      <c r="N53" s="167"/>
      <c r="O53" s="266">
        <f t="shared" si="4"/>
        <v>278.5515320334262</v>
      </c>
      <c r="P53" s="267">
        <f t="shared" si="5"/>
        <v>30.802199999999996</v>
      </c>
      <c r="Q53" s="268">
        <f t="shared" si="6"/>
        <v>185.328</v>
      </c>
      <c r="R53" s="261"/>
      <c r="S53" s="269">
        <f>80*40-76*36</f>
        <v>464</v>
      </c>
      <c r="T53" s="151">
        <f t="shared" si="3"/>
        <v>2.7840000000000003</v>
      </c>
    </row>
    <row r="54" spans="1:20" ht="16.5" customHeight="1">
      <c r="A54" s="336"/>
      <c r="B54" s="54"/>
      <c r="C54" s="64" t="s">
        <v>186</v>
      </c>
      <c r="D54" s="56">
        <v>6</v>
      </c>
      <c r="E54" s="57">
        <v>7230</v>
      </c>
      <c r="F54" s="57">
        <v>7350</v>
      </c>
      <c r="G54" s="57">
        <v>7500</v>
      </c>
      <c r="H54" s="58">
        <v>7650</v>
      </c>
      <c r="I54" s="58">
        <v>7860</v>
      </c>
      <c r="J54" s="58">
        <v>8220</v>
      </c>
      <c r="K54" s="161"/>
      <c r="L54" s="264">
        <v>5.248</v>
      </c>
      <c r="M54" s="265">
        <v>32</v>
      </c>
      <c r="N54" s="167"/>
      <c r="O54" s="266">
        <f t="shared" si="4"/>
        <v>190.54878048780486</v>
      </c>
      <c r="P54" s="267">
        <f t="shared" si="5"/>
        <v>43.138560000000005</v>
      </c>
      <c r="Q54" s="268">
        <f t="shared" si="6"/>
        <v>263.04</v>
      </c>
      <c r="R54" s="261"/>
      <c r="S54" s="269">
        <f>80*40-74*34</f>
        <v>684</v>
      </c>
      <c r="T54" s="151">
        <f t="shared" si="3"/>
        <v>4.104</v>
      </c>
    </row>
    <row r="55" spans="1:20" ht="16.5" customHeight="1">
      <c r="A55" s="336"/>
      <c r="B55" s="63"/>
      <c r="C55" s="64" t="s">
        <v>187</v>
      </c>
      <c r="D55" s="56" t="s">
        <v>188</v>
      </c>
      <c r="E55" s="57">
        <v>7530</v>
      </c>
      <c r="F55" s="57">
        <v>7650</v>
      </c>
      <c r="G55" s="57">
        <v>7800</v>
      </c>
      <c r="H55" s="57">
        <v>7950</v>
      </c>
      <c r="I55" s="57">
        <v>8190</v>
      </c>
      <c r="J55" s="57">
        <v>8580</v>
      </c>
      <c r="K55" s="161"/>
      <c r="L55" s="264">
        <v>4.43</v>
      </c>
      <c r="M55" s="265">
        <v>27</v>
      </c>
      <c r="N55" s="167"/>
      <c r="O55" s="266">
        <f t="shared" si="4"/>
        <v>225.73363431151242</v>
      </c>
      <c r="P55" s="267">
        <f t="shared" si="5"/>
        <v>38.00939999999999</v>
      </c>
      <c r="Q55" s="268">
        <f t="shared" si="6"/>
        <v>231.66</v>
      </c>
      <c r="R55" s="261"/>
      <c r="S55" s="269">
        <f>80*60-76*56</f>
        <v>544</v>
      </c>
      <c r="T55" s="151">
        <f t="shared" si="3"/>
        <v>3.2640000000000002</v>
      </c>
    </row>
    <row r="56" spans="1:20" ht="16.5" customHeight="1">
      <c r="A56" s="336"/>
      <c r="B56" s="63"/>
      <c r="C56" s="64" t="s">
        <v>189</v>
      </c>
      <c r="D56" s="56" t="s">
        <v>188</v>
      </c>
      <c r="E56" s="57">
        <v>7230</v>
      </c>
      <c r="F56" s="57">
        <v>7350</v>
      </c>
      <c r="G56" s="57">
        <v>7500</v>
      </c>
      <c r="H56" s="57">
        <v>7650</v>
      </c>
      <c r="I56" s="57">
        <v>7860</v>
      </c>
      <c r="J56" s="57">
        <v>8220</v>
      </c>
      <c r="K56" s="161"/>
      <c r="L56" s="264">
        <v>5.915</v>
      </c>
      <c r="M56" s="265">
        <v>35.6</v>
      </c>
      <c r="N56" s="167"/>
      <c r="O56" s="266">
        <f t="shared" si="4"/>
        <v>169.06170752324599</v>
      </c>
      <c r="P56" s="267">
        <f t="shared" si="5"/>
        <v>48.621300000000005</v>
      </c>
      <c r="Q56" s="268">
        <f t="shared" si="6"/>
        <v>292.632</v>
      </c>
      <c r="R56" s="261"/>
      <c r="S56" s="269">
        <f>80*60-74*54</f>
        <v>804</v>
      </c>
      <c r="T56" s="151">
        <f t="shared" si="3"/>
        <v>4.824</v>
      </c>
    </row>
    <row r="57" spans="1:20" ht="16.5" customHeight="1">
      <c r="A57" s="336"/>
      <c r="B57" s="63"/>
      <c r="C57" s="64" t="s">
        <v>190</v>
      </c>
      <c r="D57" s="56" t="s">
        <v>188</v>
      </c>
      <c r="E57" s="57">
        <v>7530</v>
      </c>
      <c r="F57" s="57">
        <v>7650</v>
      </c>
      <c r="G57" s="57">
        <v>7800</v>
      </c>
      <c r="H57" s="57">
        <v>7950</v>
      </c>
      <c r="I57" s="57">
        <v>8190</v>
      </c>
      <c r="J57" s="57">
        <v>8580</v>
      </c>
      <c r="K57" s="161"/>
      <c r="L57" s="264">
        <v>4.93</v>
      </c>
      <c r="M57" s="265">
        <v>59.4</v>
      </c>
      <c r="N57" s="167"/>
      <c r="O57" s="266">
        <f t="shared" si="4"/>
        <v>202.8397565922921</v>
      </c>
      <c r="P57" s="267">
        <f t="shared" si="5"/>
        <v>42.29939999999999</v>
      </c>
      <c r="Q57" s="268">
        <f t="shared" si="6"/>
        <v>509.652</v>
      </c>
      <c r="R57" s="261"/>
      <c r="S57" s="269">
        <f>80^2-(80-2*2)^2</f>
        <v>624</v>
      </c>
      <c r="T57" s="151">
        <f t="shared" si="3"/>
        <v>3.744</v>
      </c>
    </row>
    <row r="58" spans="1:20" ht="16.5" customHeight="1">
      <c r="A58" s="336"/>
      <c r="B58" s="63"/>
      <c r="C58" s="64" t="s">
        <v>191</v>
      </c>
      <c r="D58" s="56" t="s">
        <v>188</v>
      </c>
      <c r="E58" s="57">
        <v>7230</v>
      </c>
      <c r="F58" s="57">
        <v>7350</v>
      </c>
      <c r="G58" s="57">
        <v>7500</v>
      </c>
      <c r="H58" s="57">
        <v>7650</v>
      </c>
      <c r="I58" s="57">
        <v>7860</v>
      </c>
      <c r="J58" s="57">
        <v>8220</v>
      </c>
      <c r="K58" s="161"/>
      <c r="L58" s="264">
        <v>7.3</v>
      </c>
      <c r="M58" s="265">
        <v>88</v>
      </c>
      <c r="N58" s="167"/>
      <c r="O58" s="266">
        <f t="shared" si="4"/>
        <v>136.986301369863</v>
      </c>
      <c r="P58" s="267">
        <f t="shared" si="5"/>
        <v>60.006</v>
      </c>
      <c r="Q58" s="268">
        <f t="shared" si="6"/>
        <v>723.36</v>
      </c>
      <c r="R58" s="261"/>
      <c r="S58" s="269">
        <f>80^2-(80-3*2)^2</f>
        <v>924</v>
      </c>
      <c r="T58" s="151">
        <f t="shared" si="3"/>
        <v>5.5440000000000005</v>
      </c>
    </row>
    <row r="59" spans="1:20" ht="16.5" customHeight="1">
      <c r="A59" s="336"/>
      <c r="B59" s="63"/>
      <c r="C59" s="64" t="s">
        <v>136</v>
      </c>
      <c r="D59" s="56" t="s">
        <v>188</v>
      </c>
      <c r="E59" s="57">
        <v>7230</v>
      </c>
      <c r="F59" s="57">
        <v>7350</v>
      </c>
      <c r="G59" s="57">
        <v>7500</v>
      </c>
      <c r="H59" s="57">
        <v>7650</v>
      </c>
      <c r="I59" s="57">
        <v>7860</v>
      </c>
      <c r="J59" s="57">
        <v>8220</v>
      </c>
      <c r="K59" s="161"/>
      <c r="L59" s="264">
        <v>6.6</v>
      </c>
      <c r="M59" s="265">
        <v>79.4</v>
      </c>
      <c r="N59" s="167"/>
      <c r="O59" s="266">
        <f t="shared" si="4"/>
        <v>151.51515151515153</v>
      </c>
      <c r="P59" s="267">
        <f t="shared" si="5"/>
        <v>54.252</v>
      </c>
      <c r="Q59" s="268">
        <f t="shared" si="6"/>
        <v>652.668</v>
      </c>
      <c r="R59" s="261"/>
      <c r="S59" s="269">
        <f>100*50-94*44</f>
        <v>864</v>
      </c>
      <c r="T59" s="151">
        <f t="shared" si="3"/>
        <v>5.184</v>
      </c>
    </row>
    <row r="60" spans="1:20" ht="16.5" customHeight="1">
      <c r="A60" s="336"/>
      <c r="B60" s="63"/>
      <c r="C60" s="64" t="s">
        <v>192</v>
      </c>
      <c r="D60" s="56" t="s">
        <v>188</v>
      </c>
      <c r="E60" s="248">
        <v>7230</v>
      </c>
      <c r="F60" s="248">
        <v>7350</v>
      </c>
      <c r="G60" s="248">
        <v>7500</v>
      </c>
      <c r="H60" s="248">
        <v>7650</v>
      </c>
      <c r="I60" s="248">
        <v>7860</v>
      </c>
      <c r="J60" s="248">
        <v>8220</v>
      </c>
      <c r="K60" s="161"/>
      <c r="L60" s="264">
        <v>7.13</v>
      </c>
      <c r="M60" s="265">
        <v>86</v>
      </c>
      <c r="N60" s="167"/>
      <c r="O60" s="266">
        <f t="shared" si="4"/>
        <v>140.25245441795232</v>
      </c>
      <c r="P60" s="267">
        <f t="shared" si="5"/>
        <v>58.608599999999996</v>
      </c>
      <c r="Q60" s="268">
        <f t="shared" si="6"/>
        <v>706.92</v>
      </c>
      <c r="R60" s="261"/>
      <c r="S60" s="269">
        <f>100*60-94*54</f>
        <v>924</v>
      </c>
      <c r="T60" s="151">
        <f t="shared" si="3"/>
        <v>5.5440000000000005</v>
      </c>
    </row>
    <row r="61" spans="1:20" ht="16.5" customHeight="1">
      <c r="A61" s="336"/>
      <c r="B61" s="63"/>
      <c r="C61" s="64" t="s">
        <v>193</v>
      </c>
      <c r="D61" s="56" t="s">
        <v>188</v>
      </c>
      <c r="E61" s="57">
        <v>7230</v>
      </c>
      <c r="F61" s="57">
        <v>7350</v>
      </c>
      <c r="G61" s="57">
        <v>7500</v>
      </c>
      <c r="H61" s="57">
        <v>7650</v>
      </c>
      <c r="I61" s="57">
        <v>7860</v>
      </c>
      <c r="J61" s="57">
        <v>8220</v>
      </c>
      <c r="K61" s="161"/>
      <c r="L61" s="264">
        <v>9.33</v>
      </c>
      <c r="M61" s="265">
        <v>112</v>
      </c>
      <c r="N61" s="167"/>
      <c r="O61" s="266">
        <f t="shared" si="4"/>
        <v>107.18113612004286</v>
      </c>
      <c r="P61" s="267">
        <f t="shared" si="5"/>
        <v>76.6926</v>
      </c>
      <c r="Q61" s="268">
        <f>I61*M61/1000</f>
        <v>880.32</v>
      </c>
      <c r="R61" s="261"/>
      <c r="S61" s="269">
        <f>100*60-92*52</f>
        <v>1216</v>
      </c>
      <c r="T61" s="151">
        <f t="shared" si="3"/>
        <v>7.296</v>
      </c>
    </row>
    <row r="62" spans="1:20" ht="16.5" customHeight="1">
      <c r="A62" s="336"/>
      <c r="B62" s="63"/>
      <c r="C62" s="64" t="s">
        <v>194</v>
      </c>
      <c r="D62" s="56" t="s">
        <v>188</v>
      </c>
      <c r="E62" s="248">
        <v>7440</v>
      </c>
      <c r="F62" s="248">
        <v>7560</v>
      </c>
      <c r="G62" s="248">
        <v>7710</v>
      </c>
      <c r="H62" s="248">
        <v>7860</v>
      </c>
      <c r="I62" s="248">
        <v>8100</v>
      </c>
      <c r="J62" s="248">
        <v>8460</v>
      </c>
      <c r="K62" s="161"/>
      <c r="L62" s="264">
        <v>9.02</v>
      </c>
      <c r="M62" s="265">
        <v>108.6</v>
      </c>
      <c r="N62" s="167"/>
      <c r="O62" s="266">
        <f t="shared" si="4"/>
        <v>110.86474501108648</v>
      </c>
      <c r="P62" s="267">
        <f t="shared" si="5"/>
        <v>76.3092</v>
      </c>
      <c r="Q62" s="268">
        <f>I62*M62/1000</f>
        <v>879.66</v>
      </c>
      <c r="R62" s="261"/>
      <c r="S62" s="269">
        <f>100^2-(100-2*3)^2</f>
        <v>1164</v>
      </c>
      <c r="T62" s="151">
        <f t="shared" si="3"/>
        <v>6.984</v>
      </c>
    </row>
    <row r="63" spans="1:20" ht="16.5" customHeight="1">
      <c r="A63" s="336"/>
      <c r="B63" s="63"/>
      <c r="C63" s="64" t="s">
        <v>195</v>
      </c>
      <c r="D63" s="56" t="s">
        <v>188</v>
      </c>
      <c r="E63" s="57">
        <v>7440</v>
      </c>
      <c r="F63" s="57">
        <v>7560</v>
      </c>
      <c r="G63" s="57">
        <v>7710</v>
      </c>
      <c r="H63" s="57">
        <v>7860</v>
      </c>
      <c r="I63" s="57">
        <v>8100</v>
      </c>
      <c r="J63" s="57">
        <v>8460</v>
      </c>
      <c r="K63" s="161"/>
      <c r="L63" s="264">
        <v>11.84</v>
      </c>
      <c r="M63" s="265">
        <v>142.4</v>
      </c>
      <c r="N63" s="167"/>
      <c r="O63" s="266">
        <f t="shared" si="4"/>
        <v>84.45945945945947</v>
      </c>
      <c r="P63" s="267">
        <f t="shared" si="5"/>
        <v>100.1664</v>
      </c>
      <c r="Q63" s="268">
        <f>I63*M63/1000</f>
        <v>1153.44</v>
      </c>
      <c r="R63" s="261"/>
      <c r="S63" s="269">
        <f>100^2-(100-2*4)^2</f>
        <v>1536</v>
      </c>
      <c r="T63" s="151">
        <f t="shared" si="3"/>
        <v>9.216000000000001</v>
      </c>
    </row>
    <row r="64" spans="1:20" ht="16.5" customHeight="1">
      <c r="A64" s="336"/>
      <c r="B64" s="63"/>
      <c r="C64" s="64" t="s">
        <v>196</v>
      </c>
      <c r="D64" s="56" t="s">
        <v>188</v>
      </c>
      <c r="E64" s="57">
        <v>7230</v>
      </c>
      <c r="F64" s="57">
        <v>7350</v>
      </c>
      <c r="G64" s="57">
        <v>7500</v>
      </c>
      <c r="H64" s="57">
        <v>7650</v>
      </c>
      <c r="I64" s="57">
        <v>7860</v>
      </c>
      <c r="J64" s="57">
        <v>8220</v>
      </c>
      <c r="K64" s="161"/>
      <c r="L64" s="264">
        <v>9.02</v>
      </c>
      <c r="M64" s="265">
        <v>108.6</v>
      </c>
      <c r="N64" s="167"/>
      <c r="O64" s="266">
        <f t="shared" si="4"/>
        <v>110.86474501108648</v>
      </c>
      <c r="P64" s="267">
        <f t="shared" si="5"/>
        <v>74.14439999999999</v>
      </c>
      <c r="Q64" s="268">
        <f>I64*M64/1000</f>
        <v>853.596</v>
      </c>
      <c r="R64" s="261"/>
      <c r="S64" s="269">
        <f>120*80-114*74</f>
        <v>1164</v>
      </c>
      <c r="T64" s="151">
        <f t="shared" si="3"/>
        <v>6.984</v>
      </c>
    </row>
    <row r="65" spans="1:20" ht="16.5" customHeight="1" thickBot="1">
      <c r="A65" s="337"/>
      <c r="B65" s="86"/>
      <c r="C65" s="66" t="s">
        <v>197</v>
      </c>
      <c r="D65" s="67" t="s">
        <v>188</v>
      </c>
      <c r="E65" s="68">
        <v>7230</v>
      </c>
      <c r="F65" s="68">
        <v>7350</v>
      </c>
      <c r="G65" s="68">
        <v>7500</v>
      </c>
      <c r="H65" s="69">
        <v>7650</v>
      </c>
      <c r="I65" s="69">
        <v>7860</v>
      </c>
      <c r="J65" s="69">
        <v>8220</v>
      </c>
      <c r="K65" s="161"/>
      <c r="L65" s="272">
        <v>11.84</v>
      </c>
      <c r="M65" s="273">
        <v>142.4</v>
      </c>
      <c r="N65" s="167"/>
      <c r="O65" s="274">
        <f t="shared" si="4"/>
        <v>84.45945945945947</v>
      </c>
      <c r="P65" s="275">
        <f t="shared" si="5"/>
        <v>97.3248</v>
      </c>
      <c r="Q65" s="276">
        <f>I65*M65/1000</f>
        <v>1119.264</v>
      </c>
      <c r="R65" s="261"/>
      <c r="S65" s="277">
        <f>120*80-112*72</f>
        <v>1536</v>
      </c>
      <c r="T65" s="152">
        <f t="shared" si="3"/>
        <v>9.216000000000001</v>
      </c>
    </row>
    <row r="66" spans="1:20" ht="12" customHeight="1" thickBot="1">
      <c r="A66" s="74"/>
      <c r="B66" s="75"/>
      <c r="C66" s="76"/>
      <c r="D66" s="77"/>
      <c r="E66" s="121"/>
      <c r="F66" s="78"/>
      <c r="G66" s="78"/>
      <c r="H66" s="79"/>
      <c r="I66" s="79"/>
      <c r="J66" s="79"/>
      <c r="K66" s="161"/>
      <c r="L66" s="278"/>
      <c r="M66" s="279"/>
      <c r="N66" s="167"/>
      <c r="O66" s="280"/>
      <c r="P66" s="281"/>
      <c r="Q66" s="282"/>
      <c r="R66" s="261"/>
      <c r="S66" s="283"/>
      <c r="T66" s="154"/>
    </row>
    <row r="67" spans="1:21" ht="16.5" customHeight="1" collapsed="1">
      <c r="A67" s="323" t="s">
        <v>198</v>
      </c>
      <c r="B67" s="44"/>
      <c r="C67" s="45" t="s">
        <v>199</v>
      </c>
      <c r="D67" s="46" t="s">
        <v>135</v>
      </c>
      <c r="E67" s="245">
        <v>7260</v>
      </c>
      <c r="F67" s="245">
        <v>7380</v>
      </c>
      <c r="G67" s="245">
        <v>7530</v>
      </c>
      <c r="H67" s="246">
        <v>7680</v>
      </c>
      <c r="I67" s="246">
        <v>7890</v>
      </c>
      <c r="J67" s="246">
        <v>8280</v>
      </c>
      <c r="K67" s="161"/>
      <c r="L67" s="256">
        <v>3.551</v>
      </c>
      <c r="M67" s="257">
        <v>43</v>
      </c>
      <c r="N67" s="167"/>
      <c r="O67" s="258">
        <f aca="true" t="shared" si="7" ref="O67:O76">1000/L67</f>
        <v>281.61081385525205</v>
      </c>
      <c r="P67" s="259">
        <f aca="true" t="shared" si="8" ref="P67:P76">J67*L67/1000</f>
        <v>29.40228</v>
      </c>
      <c r="Q67" s="260">
        <f aca="true" t="shared" si="9" ref="Q67:Q76">J67*M67/1000</f>
        <v>356.04</v>
      </c>
      <c r="R67" s="261"/>
      <c r="S67" s="262">
        <f>PI()*51^2/4-PI()*(51-2*3)^2/4</f>
        <v>452.38934211693027</v>
      </c>
      <c r="T67" s="150">
        <f t="shared" si="3"/>
        <v>2.7143360527015816</v>
      </c>
      <c r="U67" s="263"/>
    </row>
    <row r="68" spans="1:21" ht="16.5" customHeight="1">
      <c r="A68" s="324"/>
      <c r="B68" s="54"/>
      <c r="C68" s="55" t="s">
        <v>200</v>
      </c>
      <c r="D68" s="56" t="s">
        <v>135</v>
      </c>
      <c r="E68" s="57">
        <v>7260</v>
      </c>
      <c r="F68" s="57">
        <v>7380</v>
      </c>
      <c r="G68" s="57">
        <v>7530</v>
      </c>
      <c r="H68" s="57">
        <v>7680</v>
      </c>
      <c r="I68" s="57">
        <v>7890</v>
      </c>
      <c r="J68" s="57">
        <v>8280</v>
      </c>
      <c r="K68" s="161"/>
      <c r="L68" s="264">
        <v>3.995</v>
      </c>
      <c r="M68" s="265">
        <v>48.4</v>
      </c>
      <c r="N68" s="167"/>
      <c r="O68" s="266">
        <f t="shared" si="7"/>
        <v>250.31289111389236</v>
      </c>
      <c r="P68" s="267">
        <f t="shared" si="8"/>
        <v>33.0786</v>
      </c>
      <c r="Q68" s="268">
        <f t="shared" si="9"/>
        <v>400.752</v>
      </c>
      <c r="R68" s="261"/>
      <c r="S68" s="269">
        <f>PI()*57^2/4-PI()*(57-2*3)^2/4</f>
        <v>508.9380098815466</v>
      </c>
      <c r="T68" s="151">
        <f t="shared" si="3"/>
        <v>3.0536280592892795</v>
      </c>
      <c r="U68" s="263"/>
    </row>
    <row r="69" spans="1:21" ht="16.5" customHeight="1">
      <c r="A69" s="324"/>
      <c r="B69" s="54"/>
      <c r="C69" s="55" t="s">
        <v>201</v>
      </c>
      <c r="D69" s="56" t="s">
        <v>135</v>
      </c>
      <c r="E69" s="57">
        <v>7260</v>
      </c>
      <c r="F69" s="57">
        <v>7380</v>
      </c>
      <c r="G69" s="57">
        <v>7530</v>
      </c>
      <c r="H69" s="57">
        <v>7680</v>
      </c>
      <c r="I69" s="57">
        <v>7890</v>
      </c>
      <c r="J69" s="57">
        <v>8280</v>
      </c>
      <c r="K69" s="161"/>
      <c r="L69" s="264">
        <v>4.618</v>
      </c>
      <c r="M69" s="265">
        <v>55.6</v>
      </c>
      <c r="N69" s="167"/>
      <c r="O69" s="266">
        <f t="shared" si="7"/>
        <v>216.54395842355996</v>
      </c>
      <c r="P69" s="267">
        <f t="shared" si="8"/>
        <v>38.23704</v>
      </c>
      <c r="Q69" s="268">
        <f t="shared" si="9"/>
        <v>460.368</v>
      </c>
      <c r="R69" s="261"/>
      <c r="S69" s="269">
        <f>PI()*57^2/4-PI()*(57-2*3.5)^2/4</f>
        <v>588.2632243846888</v>
      </c>
      <c r="T69" s="151">
        <f t="shared" si="3"/>
        <v>3.529579346308133</v>
      </c>
      <c r="U69" s="263"/>
    </row>
    <row r="70" spans="1:20" ht="16.5" customHeight="1">
      <c r="A70" s="324"/>
      <c r="B70" s="54"/>
      <c r="C70" s="55" t="s">
        <v>202</v>
      </c>
      <c r="D70" s="56" t="s">
        <v>135</v>
      </c>
      <c r="E70" s="248">
        <v>7260</v>
      </c>
      <c r="F70" s="248">
        <v>7380</v>
      </c>
      <c r="G70" s="248">
        <v>7530</v>
      </c>
      <c r="H70" s="248">
        <v>7680</v>
      </c>
      <c r="I70" s="248">
        <v>7890</v>
      </c>
      <c r="J70" s="248">
        <v>8280</v>
      </c>
      <c r="K70" s="161"/>
      <c r="L70" s="264">
        <v>5.401</v>
      </c>
      <c r="M70" s="265">
        <v>65</v>
      </c>
      <c r="N70" s="167"/>
      <c r="O70" s="266">
        <f t="shared" si="7"/>
        <v>185.15089798185522</v>
      </c>
      <c r="P70" s="267">
        <f t="shared" si="8"/>
        <v>44.720279999999995</v>
      </c>
      <c r="Q70" s="268">
        <f t="shared" si="9"/>
        <v>538.2</v>
      </c>
      <c r="R70" s="261"/>
      <c r="S70" s="269">
        <f>PI()*76^2/4-PI()*(76-2*3)^2/4</f>
        <v>688.0087911361643</v>
      </c>
      <c r="T70" s="151">
        <f t="shared" si="3"/>
        <v>4.128052746816985</v>
      </c>
    </row>
    <row r="71" spans="1:20" ht="16.5" customHeight="1">
      <c r="A71" s="324"/>
      <c r="B71" s="54"/>
      <c r="C71" s="55" t="s">
        <v>203</v>
      </c>
      <c r="D71" s="56" t="s">
        <v>135</v>
      </c>
      <c r="E71" s="57">
        <v>7260</v>
      </c>
      <c r="F71" s="57">
        <v>7380</v>
      </c>
      <c r="G71" s="57">
        <v>7530</v>
      </c>
      <c r="H71" s="58">
        <v>7680</v>
      </c>
      <c r="I71" s="58">
        <v>7890</v>
      </c>
      <c r="J71" s="58">
        <v>8280</v>
      </c>
      <c r="K71" s="161"/>
      <c r="L71" s="264">
        <v>6.258</v>
      </c>
      <c r="M71" s="265">
        <v>75</v>
      </c>
      <c r="N71" s="167"/>
      <c r="O71" s="266">
        <f t="shared" si="7"/>
        <v>159.79546180888462</v>
      </c>
      <c r="P71" s="267">
        <f t="shared" si="8"/>
        <v>51.81624</v>
      </c>
      <c r="Q71" s="268">
        <f t="shared" si="9"/>
        <v>621</v>
      </c>
      <c r="R71" s="261"/>
      <c r="S71" s="269">
        <f>PI()*76^2/4-PI()*(76-2*3.5)^2/4</f>
        <v>797.1791358484097</v>
      </c>
      <c r="T71" s="151">
        <f t="shared" si="3"/>
        <v>4.783074815090458</v>
      </c>
    </row>
    <row r="72" spans="1:20" ht="16.5" customHeight="1">
      <c r="A72" s="324"/>
      <c r="B72" s="63"/>
      <c r="C72" s="55" t="s">
        <v>204</v>
      </c>
      <c r="D72" s="56" t="s">
        <v>135</v>
      </c>
      <c r="E72" s="57">
        <v>7260</v>
      </c>
      <c r="F72" s="57">
        <v>7380</v>
      </c>
      <c r="G72" s="57">
        <v>7530</v>
      </c>
      <c r="H72" s="58">
        <v>7680</v>
      </c>
      <c r="I72" s="58">
        <v>7890</v>
      </c>
      <c r="J72" s="58">
        <v>8280</v>
      </c>
      <c r="K72" s="161"/>
      <c r="L72" s="264">
        <v>6.363</v>
      </c>
      <c r="M72" s="265">
        <v>77</v>
      </c>
      <c r="N72" s="167"/>
      <c r="O72" s="266">
        <f t="shared" si="7"/>
        <v>157.15857300015716</v>
      </c>
      <c r="P72" s="267">
        <f t="shared" si="8"/>
        <v>52.68564000000001</v>
      </c>
      <c r="Q72" s="268">
        <f t="shared" si="9"/>
        <v>637.56</v>
      </c>
      <c r="R72" s="261"/>
      <c r="S72" s="269">
        <f>PI()*89^2/4-PI()*(89-2*3)^2/4</f>
        <v>810.5309046261664</v>
      </c>
      <c r="T72" s="151">
        <f t="shared" si="3"/>
        <v>4.863185427756998</v>
      </c>
    </row>
    <row r="73" spans="1:20" ht="16.5" customHeight="1">
      <c r="A73" s="324"/>
      <c r="B73" s="63"/>
      <c r="C73" s="55" t="s">
        <v>205</v>
      </c>
      <c r="D73" s="56" t="s">
        <v>135</v>
      </c>
      <c r="E73" s="57">
        <v>7260</v>
      </c>
      <c r="F73" s="57">
        <v>7380</v>
      </c>
      <c r="G73" s="57">
        <v>7530</v>
      </c>
      <c r="H73" s="58">
        <v>7680</v>
      </c>
      <c r="I73" s="58">
        <v>7890</v>
      </c>
      <c r="J73" s="58">
        <v>8280</v>
      </c>
      <c r="K73" s="161"/>
      <c r="L73" s="264">
        <v>7.38</v>
      </c>
      <c r="M73" s="265">
        <v>89</v>
      </c>
      <c r="N73" s="167"/>
      <c r="O73" s="266">
        <f t="shared" si="7"/>
        <v>135.50135501355012</v>
      </c>
      <c r="P73" s="267">
        <f t="shared" si="8"/>
        <v>61.1064</v>
      </c>
      <c r="Q73" s="268">
        <f t="shared" si="9"/>
        <v>736.92</v>
      </c>
      <c r="R73" s="261"/>
      <c r="S73" s="269">
        <f>PI()*89^2/4-PI()*(89-2*3.5)^2/4</f>
        <v>940.1216015867458</v>
      </c>
      <c r="T73" s="151">
        <f t="shared" si="3"/>
        <v>5.640729609520474</v>
      </c>
    </row>
    <row r="74" spans="1:20" ht="16.5" customHeight="1">
      <c r="A74" s="324"/>
      <c r="B74" s="63"/>
      <c r="C74" s="55" t="s">
        <v>206</v>
      </c>
      <c r="D74" s="56" t="s">
        <v>135</v>
      </c>
      <c r="E74" s="248">
        <v>7260</v>
      </c>
      <c r="F74" s="248">
        <v>7380</v>
      </c>
      <c r="G74" s="248">
        <v>7530</v>
      </c>
      <c r="H74" s="248">
        <v>7680</v>
      </c>
      <c r="I74" s="248">
        <v>7890</v>
      </c>
      <c r="J74" s="248">
        <v>8280</v>
      </c>
      <c r="K74" s="161"/>
      <c r="L74" s="264">
        <v>8.502</v>
      </c>
      <c r="M74" s="265">
        <v>102.4</v>
      </c>
      <c r="N74" s="167"/>
      <c r="O74" s="266">
        <f t="shared" si="7"/>
        <v>117.61938367442954</v>
      </c>
      <c r="P74" s="267">
        <f t="shared" si="8"/>
        <v>70.39656000000001</v>
      </c>
      <c r="Q74" s="268">
        <f t="shared" si="9"/>
        <v>847.872</v>
      </c>
      <c r="R74" s="261"/>
      <c r="S74" s="269">
        <f>PI()*102^2/4-PI()*(102-2*3.5)^2/4</f>
        <v>1083.064067325081</v>
      </c>
      <c r="T74" s="151">
        <f t="shared" si="3"/>
        <v>6.498384403950486</v>
      </c>
    </row>
    <row r="75" spans="1:20" ht="16.5" customHeight="1">
      <c r="A75" s="324"/>
      <c r="B75" s="63"/>
      <c r="C75" s="55" t="s">
        <v>207</v>
      </c>
      <c r="D75" s="56" t="s">
        <v>135</v>
      </c>
      <c r="E75" s="248">
        <v>7260</v>
      </c>
      <c r="F75" s="248">
        <v>7380</v>
      </c>
      <c r="G75" s="248">
        <v>7530</v>
      </c>
      <c r="H75" s="248">
        <v>7680</v>
      </c>
      <c r="I75" s="248">
        <v>7890</v>
      </c>
      <c r="J75" s="248">
        <v>8280</v>
      </c>
      <c r="K75" s="161"/>
      <c r="L75" s="264">
        <v>7.768</v>
      </c>
      <c r="M75" s="265">
        <v>93.6</v>
      </c>
      <c r="N75" s="167"/>
      <c r="O75" s="266">
        <f t="shared" si="7"/>
        <v>128.73326467559218</v>
      </c>
      <c r="P75" s="267">
        <f t="shared" si="8"/>
        <v>64.31904</v>
      </c>
      <c r="Q75" s="268">
        <f t="shared" si="9"/>
        <v>775.008</v>
      </c>
      <c r="R75" s="261"/>
      <c r="S75" s="269">
        <f>PI()*108^2/4-PI()*(108-2*3)^2/4</f>
        <v>989.6016858807843</v>
      </c>
      <c r="T75" s="151">
        <f t="shared" si="3"/>
        <v>5.937610115284706</v>
      </c>
    </row>
    <row r="76" spans="1:20" ht="16.5" customHeight="1" thickBot="1">
      <c r="A76" s="325"/>
      <c r="B76" s="65"/>
      <c r="C76" s="107" t="s">
        <v>208</v>
      </c>
      <c r="D76" s="67" t="s">
        <v>135</v>
      </c>
      <c r="E76" s="68">
        <v>7260</v>
      </c>
      <c r="F76" s="68">
        <v>7380</v>
      </c>
      <c r="G76" s="68">
        <v>7530</v>
      </c>
      <c r="H76" s="69">
        <v>7680</v>
      </c>
      <c r="I76" s="69">
        <v>7890</v>
      </c>
      <c r="J76" s="69">
        <v>8280</v>
      </c>
      <c r="K76" s="161"/>
      <c r="L76" s="272">
        <v>9.02</v>
      </c>
      <c r="M76" s="273">
        <v>108.4</v>
      </c>
      <c r="N76" s="167"/>
      <c r="O76" s="274">
        <f t="shared" si="7"/>
        <v>110.86474501108648</v>
      </c>
      <c r="P76" s="275">
        <f t="shared" si="8"/>
        <v>74.6856</v>
      </c>
      <c r="Q76" s="276">
        <f t="shared" si="9"/>
        <v>897.552</v>
      </c>
      <c r="R76" s="261"/>
      <c r="S76" s="277">
        <f>PI()*108^2/4-PI()*(108-2*3.5)^2/4</f>
        <v>1149.0375130504663</v>
      </c>
      <c r="T76" s="152">
        <f t="shared" si="3"/>
        <v>6.894225078302798</v>
      </c>
    </row>
    <row r="77" spans="1:20" ht="12" customHeight="1" thickBot="1">
      <c r="A77" s="111"/>
      <c r="B77" s="112"/>
      <c r="C77" s="113"/>
      <c r="D77" s="114"/>
      <c r="E77" s="115"/>
      <c r="F77" s="115"/>
      <c r="G77" s="115"/>
      <c r="H77" s="116"/>
      <c r="I77" s="116"/>
      <c r="J77" s="116"/>
      <c r="K77" s="285"/>
      <c r="L77" s="286"/>
      <c r="M77" s="287"/>
      <c r="N77" s="168"/>
      <c r="O77" s="288"/>
      <c r="P77" s="289"/>
      <c r="Q77" s="290"/>
      <c r="R77" s="223"/>
      <c r="S77" s="291"/>
      <c r="T77" s="164"/>
    </row>
    <row r="78" spans="1:10" ht="6.75" customHeight="1">
      <c r="A78" s="99"/>
      <c r="B78" s="100"/>
      <c r="C78" s="101"/>
      <c r="D78" s="101"/>
      <c r="E78" s="102"/>
      <c r="F78" s="102"/>
      <c r="G78" s="102"/>
      <c r="H78" s="102"/>
      <c r="I78" s="102"/>
      <c r="J78" s="102"/>
    </row>
    <row r="79" spans="1:10" ht="18" customHeight="1">
      <c r="A79" s="137"/>
      <c r="B79" s="17"/>
      <c r="C79" s="18"/>
      <c r="D79" s="18"/>
      <c r="E79" s="13"/>
      <c r="F79" s="13"/>
      <c r="G79" s="13"/>
      <c r="H79" s="13"/>
      <c r="I79" s="13"/>
      <c r="J79" s="13"/>
    </row>
    <row r="80" spans="1:13" ht="18" customHeight="1">
      <c r="A80" s="138" t="s">
        <v>66</v>
      </c>
      <c r="B80" s="20"/>
      <c r="C80" s="20"/>
      <c r="D80" s="20"/>
      <c r="E80" s="13"/>
      <c r="F80" s="13"/>
      <c r="G80" s="13"/>
      <c r="H80" s="13"/>
      <c r="I80" s="13"/>
      <c r="J80" s="13"/>
      <c r="K80" s="7"/>
      <c r="L80" s="236"/>
      <c r="M80" s="236"/>
    </row>
    <row r="81" spans="1:13" ht="18" customHeight="1">
      <c r="A81" s="139" t="s">
        <v>67</v>
      </c>
      <c r="B81" s="17"/>
      <c r="C81" s="18"/>
      <c r="D81" s="18"/>
      <c r="E81" s="13"/>
      <c r="F81" s="13"/>
      <c r="G81" s="13"/>
      <c r="H81" s="13"/>
      <c r="I81" s="13"/>
      <c r="J81" s="13"/>
      <c r="K81" s="7"/>
      <c r="L81" s="236"/>
      <c r="M81" s="236"/>
    </row>
  </sheetData>
  <mergeCells count="24">
    <mergeCell ref="S6:T6"/>
    <mergeCell ref="P12:R12"/>
    <mergeCell ref="S12:T12"/>
    <mergeCell ref="P6:R6"/>
    <mergeCell ref="A14:J14"/>
    <mergeCell ref="L14:T14"/>
    <mergeCell ref="A16:D16"/>
    <mergeCell ref="E16:J16"/>
    <mergeCell ref="L16:M16"/>
    <mergeCell ref="P16:Q16"/>
    <mergeCell ref="A17:A18"/>
    <mergeCell ref="B17:B18"/>
    <mergeCell ref="C17:C18"/>
    <mergeCell ref="D17:D18"/>
    <mergeCell ref="A67:A76"/>
    <mergeCell ref="S17:S18"/>
    <mergeCell ref="T17:T18"/>
    <mergeCell ref="A19:A31"/>
    <mergeCell ref="A33:A65"/>
    <mergeCell ref="M17:M18"/>
    <mergeCell ref="O17:O18"/>
    <mergeCell ref="P17:P18"/>
    <mergeCell ref="Q17:Q18"/>
    <mergeCell ref="L17:L1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46"/>
  <sheetViews>
    <sheetView tabSelected="1" workbookViewId="0" topLeftCell="A1">
      <selection activeCell="I40" sqref="I40"/>
    </sheetView>
  </sheetViews>
  <sheetFormatPr defaultColWidth="9.140625" defaultRowHeight="12.75"/>
  <cols>
    <col min="1" max="6" width="10.7109375" style="0" customWidth="1"/>
    <col min="7" max="7" width="13.7109375" style="0" customWidth="1"/>
    <col min="8" max="8" width="14.7109375" style="0" customWidth="1"/>
    <col min="9" max="9" width="7.28125" style="0" customWidth="1"/>
  </cols>
  <sheetData>
    <row r="5" spans="1:10" ht="18">
      <c r="A5" s="1"/>
      <c r="B5" s="1"/>
      <c r="C5" s="1"/>
      <c r="D5" s="1"/>
      <c r="E5" s="1"/>
      <c r="F5" s="1"/>
      <c r="G5" s="1"/>
      <c r="H5" s="1"/>
      <c r="I5" s="1"/>
      <c r="J5" s="1"/>
    </row>
    <row r="6" spans="7:10" ht="18">
      <c r="G6" s="2"/>
      <c r="H6" s="2"/>
      <c r="I6" s="2"/>
      <c r="J6" s="2"/>
    </row>
    <row r="8" s="2" customFormat="1" ht="18.75">
      <c r="A8" s="2" t="s">
        <v>0</v>
      </c>
    </row>
    <row r="9" s="2" customFormat="1" ht="18.75">
      <c r="A9" s="2" t="s">
        <v>10</v>
      </c>
    </row>
    <row r="10" s="2" customFormat="1" ht="18.75">
      <c r="A10" s="2" t="s">
        <v>9</v>
      </c>
    </row>
    <row r="11" s="2" customFormat="1" ht="18.75" customHeight="1">
      <c r="A11" s="2" t="s">
        <v>8</v>
      </c>
    </row>
    <row r="12" s="2" customFormat="1" ht="18.75" customHeight="1"/>
    <row r="13" ht="18.75" customHeight="1">
      <c r="A13" s="2" t="s">
        <v>1</v>
      </c>
    </row>
    <row r="14" ht="12.75" customHeight="1">
      <c r="A14" s="2"/>
    </row>
    <row r="39" spans="1:9" s="4" customFormat="1" ht="18">
      <c r="A39" s="366" t="s">
        <v>2</v>
      </c>
      <c r="B39" s="366"/>
      <c r="C39" s="366"/>
      <c r="D39" s="366"/>
      <c r="E39" s="366"/>
      <c r="F39" s="366"/>
      <c r="G39" s="367" t="s">
        <v>3</v>
      </c>
      <c r="H39" s="367"/>
      <c r="I39" s="3"/>
    </row>
    <row r="40" spans="7:9" s="4" customFormat="1" ht="18">
      <c r="G40" s="367" t="s">
        <v>5</v>
      </c>
      <c r="H40" s="367"/>
      <c r="I40" s="3" t="s">
        <v>4</v>
      </c>
    </row>
    <row r="41" spans="7:9" s="4" customFormat="1" ht="18">
      <c r="G41" s="367" t="s">
        <v>6</v>
      </c>
      <c r="H41" s="367"/>
      <c r="I41" s="3"/>
    </row>
    <row r="42" s="4" customFormat="1" ht="18">
      <c r="G42" s="5"/>
    </row>
    <row r="43" spans="7:9" s="4" customFormat="1" ht="20.25">
      <c r="G43" s="364"/>
      <c r="H43" s="364"/>
      <c r="I43" s="3"/>
    </row>
    <row r="44" s="4" customFormat="1" ht="18">
      <c r="E44" s="5"/>
    </row>
    <row r="45" spans="1:9" s="4" customFormat="1" ht="18" customHeight="1">
      <c r="A45" s="365" t="s">
        <v>7</v>
      </c>
      <c r="B45" s="365"/>
      <c r="C45" s="365"/>
      <c r="D45" s="365"/>
      <c r="E45" s="365"/>
      <c r="F45" s="365"/>
      <c r="G45" s="365"/>
      <c r="H45" s="365"/>
      <c r="I45" s="6"/>
    </row>
    <row r="46" spans="1:9" s="4" customFormat="1" ht="18">
      <c r="A46" s="365"/>
      <c r="B46" s="365"/>
      <c r="C46" s="365"/>
      <c r="D46" s="365"/>
      <c r="E46" s="365"/>
      <c r="F46" s="365"/>
      <c r="G46" s="365"/>
      <c r="H46" s="365"/>
      <c r="I46" s="6"/>
    </row>
  </sheetData>
  <mergeCells count="6">
    <mergeCell ref="G43:H43"/>
    <mergeCell ref="A45:H46"/>
    <mergeCell ref="A39:F39"/>
    <mergeCell ref="G39:H39"/>
    <mergeCell ref="G40:H40"/>
    <mergeCell ref="G41:H41"/>
  </mergeCells>
  <hyperlinks>
    <hyperlink ref="G39" location="'15-12 лист МД'!A1" display="листовой прокат"/>
    <hyperlink ref="G40" location="'17-12 сорт'!A1" display="сортовой прокат"/>
    <hyperlink ref="G41" location="'01-12 труба'!A1" display="трубный прокат"/>
    <hyperlink ref="G39:H39" location="'Листовой прокат'!A1" display="листовой прокат"/>
    <hyperlink ref="G40:H40" location="'Сортовой прокат'!A1" display="сортовой прокат"/>
    <hyperlink ref="G41:H41" location="Труба!A1" display="трубы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Kisel</cp:lastModifiedBy>
  <dcterms:created xsi:type="dcterms:W3CDTF">1996-10-08T23:32:33Z</dcterms:created>
  <dcterms:modified xsi:type="dcterms:W3CDTF">2013-04-17T10:52:49Z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